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0\Share$\отдел ТПОМС\Комиссия по разработке ТПОМС\Комиссия 2024 год\Протокол № 3\ДС № 1 от 02.2024\"/>
    </mc:Choice>
  </mc:AlternateContent>
  <bookViews>
    <workbookView xWindow="14505" yWindow="405" windowWidth="14310" windowHeight="11625" tabRatio="829" firstSheet="5" activeTab="7"/>
  </bookViews>
  <sheets>
    <sheet name="Коэф плотности населения" sheetId="20" state="hidden" r:id="rId1"/>
    <sheet name="АМП 2018 (+ санкции)" sheetId="32" state="hidden" r:id="rId2"/>
    <sheet name="АМП 2018 (ДШО +роддом 991,43)" sheetId="31" state="hidden" r:id="rId3"/>
    <sheet name="АМП 2018 (ДШО в подушевой)" sheetId="29" state="hidden" r:id="rId4"/>
    <sheet name="АМП 2017 (терапевты)  (без пло)" sheetId="21" state="hidden" r:id="rId5"/>
    <sheet name="1. АМП_без Акуш и Стомат" sheetId="28" r:id="rId6"/>
    <sheet name="2. АМП_Акушерств" sheetId="35" r:id="rId7"/>
    <sheet name="3. АМП_Стоматология" sheetId="38" r:id="rId8"/>
    <sheet name="тарифы (с плот.) (2)" sheetId="24" state="hidden" r:id="rId9"/>
    <sheet name="тарифы (с плот.)" sheetId="17" state="hidden" r:id="rId10"/>
    <sheet name="тарифы (без плотн) (2)" sheetId="23" state="hidden" r:id="rId11"/>
    <sheet name="тарифы (без плотн)" sheetId="22" state="hidden" r:id="rId12"/>
  </sheets>
  <externalReferences>
    <externalReference r:id="rId13"/>
  </externalReferences>
  <definedNames>
    <definedName name="_xlnm._FilterDatabase" localSheetId="5" hidden="1">'1. АМП_без Акуш и Стомат'!$A$13:$L$16</definedName>
    <definedName name="_xlnm._FilterDatabase" localSheetId="6" hidden="1">'2. АМП_Акушерств'!$A$13:$L$16</definedName>
    <definedName name="_xlnm._FilterDatabase" localSheetId="7" hidden="1">'3. АМП_Стоматология'!$A$13:$L$15</definedName>
    <definedName name="_xlnm._FilterDatabase" localSheetId="4" hidden="1">'АМП 2017 (терапевты)  (без пло)'!$A$7:$P$19</definedName>
    <definedName name="_xlnm._FilterDatabase" localSheetId="1" hidden="1">'АМП 2018 (+ санкции)'!$A$8:$R$21</definedName>
    <definedName name="_xlnm._FilterDatabase" localSheetId="2" hidden="1">'АМП 2018 (ДШО +роддом 991,43)'!$A$8:$R$21</definedName>
    <definedName name="_xlnm._FilterDatabase" localSheetId="3" hidden="1">'АМП 2018 (ДШО в подушевой)'!$A$8:$R$21</definedName>
    <definedName name="_xlnm._FilterDatabase" localSheetId="11" hidden="1">'тарифы (без плотн)'!$A$7:$H$19</definedName>
    <definedName name="_xlnm._FilterDatabase" localSheetId="10" hidden="1">'тарифы (без плотн) (2)'!$A$7:$H$19</definedName>
    <definedName name="_xlnm._FilterDatabase" localSheetId="9" hidden="1">'тарифы (с плот.)'!$A$7:$H$19</definedName>
    <definedName name="_xlnm._FilterDatabase" localSheetId="8" hidden="1">'тарифы (с плот.) (2)'!$A$7:$H$19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5">'1. АМП_без Акуш и Стомат'!$9:$12</definedName>
    <definedName name="_xlnm.Print_Titles" localSheetId="6">'2. АМП_Акушерств'!$9:$12</definedName>
    <definedName name="_xlnm.Print_Titles" localSheetId="7">'3. АМП_Стоматология'!$9:$12</definedName>
    <definedName name="_xlnm.Print_Titles" localSheetId="4">'АМП 2017 (терапевты)  (без пло)'!$4:$6</definedName>
    <definedName name="_xlnm.Print_Titles" localSheetId="1">'АМП 2018 (+ санкции)'!$4:$7</definedName>
    <definedName name="_xlnm.Print_Titles" localSheetId="2">'АМП 2018 (ДШО +роддом 991,43)'!$4:$7</definedName>
    <definedName name="_xlnm.Print_Titles" localSheetId="3">'АМП 2018 (ДШО в подушевой)'!$4:$7</definedName>
    <definedName name="_xlnm.Print_Titles" localSheetId="11">'тарифы (без плотн)'!$4:$5</definedName>
    <definedName name="_xlnm.Print_Titles" localSheetId="10">'тарифы (без плотн) (2)'!$4:$5</definedName>
    <definedName name="_xlnm.Print_Titles" localSheetId="9">'тарифы (с плот.)'!$4:$5</definedName>
    <definedName name="_xlnm.Print_Titles" localSheetId="8">'тарифы (с плот.) (2)'!$4:$5</definedName>
    <definedName name="_xlnm.Print_Area" localSheetId="5">'1. АМП_без Акуш и Стомат'!$B$1:$L$16</definedName>
    <definedName name="_xlnm.Print_Area" localSheetId="6">'2. АМП_Акушерств'!$B$1:$L$16</definedName>
    <definedName name="_xlnm.Print_Area" localSheetId="7">'3. АМП_Стоматология'!$B$1:$L$15</definedName>
    <definedName name="_xlnm.Print_Area" localSheetId="4">'АМП 2017 (терапевты)  (без пло)'!$B$1:$O$19</definedName>
    <definedName name="_xlnm.Print_Area" localSheetId="1">'АМП 2018 (+ санкции)'!$B$1:$P$20</definedName>
    <definedName name="_xlnm.Print_Area" localSheetId="2">'АМП 2018 (ДШО +роддом 991,43)'!$B$1:$P$20</definedName>
    <definedName name="_xlnm.Print_Area" localSheetId="3">'АМП 2018 (ДШО в подушевой)'!$B$1:$P$20</definedName>
    <definedName name="_xlnm.Print_Area" localSheetId="0">'Коэф плотности населения'!$A$1:$F$20</definedName>
    <definedName name="_xlnm.Print_Area" localSheetId="11">'тарифы (без плотн)'!$B$1:$I$20</definedName>
    <definedName name="_xlnm.Print_Area" localSheetId="10">'тарифы (без плотн) (2)'!$B$1:$I$20</definedName>
    <definedName name="_xlnm.Print_Area" localSheetId="9">'тарифы (с плот.)'!$B$1:$I$20</definedName>
    <definedName name="_xlnm.Print_Area" localSheetId="8">'тарифы (с плот.) (2)'!$B$1:$I$20</definedName>
  </definedNames>
  <calcPr calcId="162913"/>
</workbook>
</file>

<file path=xl/calcChain.xml><?xml version="1.0" encoding="utf-8"?>
<calcChain xmlns="http://schemas.openxmlformats.org/spreadsheetml/2006/main">
  <c r="D17" i="38" l="1"/>
  <c r="J4" i="38" l="1"/>
  <c r="J3" i="38"/>
  <c r="J2" i="38"/>
  <c r="J1" i="38"/>
  <c r="J4" i="35"/>
  <c r="J3" i="35"/>
  <c r="J2" i="35"/>
  <c r="J1" i="35"/>
  <c r="K15" i="38" l="1"/>
  <c r="K14" i="38"/>
  <c r="J15" i="28" l="1"/>
  <c r="J16" i="28"/>
  <c r="J14" i="28"/>
  <c r="J15" i="35"/>
  <c r="K15" i="35" s="1"/>
  <c r="J16" i="35"/>
  <c r="J14" i="35"/>
  <c r="K14" i="35" s="1"/>
  <c r="K16" i="35"/>
  <c r="J15" i="38" l="1"/>
  <c r="J14" i="38"/>
  <c r="K16" i="28"/>
  <c r="K15" i="28"/>
  <c r="K14" i="28"/>
  <c r="L15" i="35"/>
  <c r="L16" i="35"/>
  <c r="L14" i="35"/>
  <c r="E9" i="38" l="1"/>
  <c r="E9" i="35"/>
  <c r="C7" i="38"/>
  <c r="C7" i="35"/>
  <c r="AO22" i="32" l="1"/>
  <c r="AR9" i="32" l="1"/>
  <c r="D23" i="32"/>
  <c r="D23" i="29" l="1"/>
  <c r="S16" i="32" l="1"/>
  <c r="S15" i="32"/>
  <c r="S20" i="32"/>
  <c r="S19" i="32"/>
  <c r="S18" i="32"/>
  <c r="S17" i="32"/>
  <c r="S14" i="32"/>
  <c r="S13" i="32"/>
  <c r="S12" i="32"/>
  <c r="S11" i="32"/>
  <c r="S10" i="32"/>
  <c r="S9" i="32"/>
  <c r="D25" i="32"/>
  <c r="AF21" i="32"/>
  <c r="U21" i="32"/>
  <c r="AB20" i="32"/>
  <c r="AB19" i="32"/>
  <c r="AB18" i="32"/>
  <c r="AB16" i="32"/>
  <c r="G16" i="32"/>
  <c r="AB15" i="32"/>
  <c r="G15" i="32"/>
  <c r="AB14" i="32"/>
  <c r="G14" i="32"/>
  <c r="AB13" i="32"/>
  <c r="G13" i="32"/>
  <c r="AB12" i="32"/>
  <c r="G12" i="32"/>
  <c r="AB11" i="32"/>
  <c r="G11" i="32"/>
  <c r="AB10" i="32"/>
  <c r="G10" i="32"/>
  <c r="AB9" i="32"/>
  <c r="G9" i="32"/>
  <c r="G20" i="32" s="1"/>
  <c r="G19" i="32" l="1"/>
  <c r="R23" i="32"/>
  <c r="P23" i="32"/>
  <c r="G18" i="32"/>
  <c r="AO22" i="31"/>
  <c r="D23" i="31"/>
  <c r="D25" i="31"/>
  <c r="AF21" i="31"/>
  <c r="U21" i="31"/>
  <c r="AB20" i="31"/>
  <c r="S20" i="31"/>
  <c r="AB19" i="31"/>
  <c r="S19" i="31"/>
  <c r="AB18" i="31"/>
  <c r="S18" i="31"/>
  <c r="G18" i="31"/>
  <c r="S17" i="31"/>
  <c r="AB16" i="31"/>
  <c r="S16" i="31"/>
  <c r="G16" i="31"/>
  <c r="AB15" i="31"/>
  <c r="S15" i="31"/>
  <c r="G15" i="31"/>
  <c r="AB14" i="31"/>
  <c r="S14" i="31"/>
  <c r="G14" i="31"/>
  <c r="AB13" i="31"/>
  <c r="S13" i="31"/>
  <c r="G13" i="31"/>
  <c r="AB12" i="31"/>
  <c r="S12" i="31"/>
  <c r="G12" i="31"/>
  <c r="AB11" i="31"/>
  <c r="S11" i="31"/>
  <c r="G11" i="31"/>
  <c r="AB10" i="31"/>
  <c r="S10" i="31"/>
  <c r="G10" i="31"/>
  <c r="AB9" i="31"/>
  <c r="S9" i="31"/>
  <c r="G9" i="31"/>
  <c r="G19" i="31" s="1"/>
  <c r="R23" i="29"/>
  <c r="D25" i="29"/>
  <c r="AF21" i="29"/>
  <c r="U21" i="29"/>
  <c r="AB20" i="29"/>
  <c r="S20" i="29"/>
  <c r="AB19" i="29"/>
  <c r="S19" i="29"/>
  <c r="AB18" i="29"/>
  <c r="S18" i="29"/>
  <c r="S17" i="29"/>
  <c r="AB16" i="29"/>
  <c r="S16" i="29"/>
  <c r="G16" i="29"/>
  <c r="AB15" i="29"/>
  <c r="S15" i="29"/>
  <c r="G15" i="29"/>
  <c r="AB14" i="29"/>
  <c r="S14" i="29"/>
  <c r="G14" i="29"/>
  <c r="AB13" i="29"/>
  <c r="S13" i="29"/>
  <c r="G13" i="29"/>
  <c r="AB12" i="29"/>
  <c r="S12" i="29"/>
  <c r="G12" i="29"/>
  <c r="AB11" i="29"/>
  <c r="S11" i="29"/>
  <c r="G11" i="29"/>
  <c r="AB10" i="29"/>
  <c r="S10" i="29"/>
  <c r="G10" i="29"/>
  <c r="AB9" i="29"/>
  <c r="S9" i="29"/>
  <c r="G9" i="29"/>
  <c r="G18" i="29" s="1"/>
  <c r="P23" i="31" l="1"/>
  <c r="G20" i="31"/>
  <c r="R23" i="31"/>
  <c r="P23" i="29"/>
  <c r="G20" i="29"/>
  <c r="G19" i="29"/>
  <c r="L14" i="17" l="1"/>
  <c r="L10" i="17" l="1"/>
  <c r="L19" i="17"/>
  <c r="L11" i="17"/>
  <c r="N21" i="21" l="1"/>
  <c r="P21" i="21"/>
  <c r="E13" i="24" l="1"/>
  <c r="E19" i="24"/>
  <c r="E8" i="22"/>
  <c r="E8" i="23"/>
  <c r="E9" i="24"/>
  <c r="E18" i="24"/>
  <c r="E16" i="24"/>
  <c r="E15" i="24"/>
  <c r="E17" i="24"/>
  <c r="E14" i="24"/>
  <c r="E11" i="24"/>
  <c r="L16" i="24" l="1"/>
  <c r="L19" i="24"/>
  <c r="E12" i="23"/>
  <c r="E14" i="22"/>
  <c r="E11" i="23"/>
  <c r="E17" i="22"/>
  <c r="E14" i="23"/>
  <c r="E15" i="22"/>
  <c r="E13" i="22"/>
  <c r="E10" i="23"/>
  <c r="E18" i="22"/>
  <c r="E13" i="23"/>
  <c r="E17" i="23"/>
  <c r="E10" i="22"/>
  <c r="E10" i="24"/>
  <c r="P8" i="23"/>
  <c r="E12" i="22"/>
  <c r="E19" i="23"/>
  <c r="E15" i="23"/>
  <c r="E19" i="22"/>
  <c r="E9" i="23" l="1"/>
  <c r="L15" i="23" s="1"/>
  <c r="E12" i="24"/>
  <c r="E16" i="22"/>
  <c r="P19" i="23"/>
  <c r="P13" i="23"/>
  <c r="E18" i="23"/>
  <c r="E11" i="22"/>
  <c r="P14" i="23"/>
  <c r="P12" i="23"/>
  <c r="P15" i="23"/>
  <c r="P10" i="23"/>
  <c r="P17" i="23"/>
  <c r="L15" i="22"/>
  <c r="P11" i="23"/>
  <c r="L19" i="22" l="1"/>
  <c r="P9" i="23"/>
  <c r="L12" i="24"/>
  <c r="P18" i="23"/>
  <c r="E8" i="24" l="1"/>
  <c r="D20" i="20"/>
  <c r="E16" i="23"/>
  <c r="E9" i="22"/>
  <c r="E20" i="24" l="1"/>
  <c r="L10" i="24"/>
  <c r="L12" i="22"/>
  <c r="E20" i="22"/>
  <c r="J20" i="22" s="1"/>
  <c r="P16" i="23"/>
  <c r="P20" i="23" s="1"/>
  <c r="L19" i="23"/>
  <c r="E20" i="23"/>
  <c r="J20" i="23" l="1"/>
  <c r="P21" i="23"/>
  <c r="E20" i="17" l="1"/>
  <c r="E22" i="17" s="1"/>
  <c r="E12" i="21" l="1"/>
  <c r="E12" i="32"/>
  <c r="E12" i="31"/>
  <c r="E12" i="29"/>
  <c r="E9" i="32"/>
  <c r="E9" i="31"/>
  <c r="E9" i="29"/>
  <c r="E8" i="21"/>
  <c r="Q25" i="32" l="1"/>
  <c r="Q26" i="32" s="1"/>
  <c r="Q25" i="29"/>
  <c r="Q26" i="29" s="1"/>
  <c r="Q25" i="31"/>
  <c r="Q26" i="31" s="1"/>
  <c r="E9" i="21"/>
  <c r="E14" i="32"/>
  <c r="E14" i="31"/>
  <c r="E14" i="29"/>
  <c r="E15" i="21"/>
  <c r="E16" i="32"/>
  <c r="E16" i="31"/>
  <c r="E16" i="29"/>
  <c r="E14" i="21"/>
  <c r="E15" i="32"/>
  <c r="E15" i="31"/>
  <c r="E15" i="29"/>
  <c r="E11" i="21"/>
  <c r="E11" i="32"/>
  <c r="E11" i="31"/>
  <c r="E11" i="29"/>
  <c r="E13" i="21"/>
  <c r="E13" i="32"/>
  <c r="E13" i="31"/>
  <c r="E13" i="29"/>
  <c r="E10" i="21"/>
  <c r="E10" i="32"/>
  <c r="E10" i="29"/>
  <c r="E10" i="31"/>
  <c r="E17" i="32"/>
  <c r="E17" i="31"/>
  <c r="E17" i="29"/>
  <c r="E20" i="32"/>
  <c r="E20" i="31"/>
  <c r="E20" i="29"/>
  <c r="E19" i="32"/>
  <c r="E19" i="31"/>
  <c r="E19" i="29"/>
  <c r="E18" i="32"/>
  <c r="E18" i="29"/>
  <c r="E18" i="31"/>
  <c r="E22" i="32"/>
  <c r="D9" i="32" s="1"/>
  <c r="D18" i="32" s="1"/>
  <c r="E19" i="21"/>
  <c r="E18" i="21"/>
  <c r="E17" i="21"/>
  <c r="E16" i="21"/>
  <c r="E22" i="31" l="1"/>
  <c r="D9" i="31" s="1"/>
  <c r="D18" i="31" s="1"/>
  <c r="D20" i="31" s="1"/>
  <c r="E22" i="29"/>
  <c r="D9" i="29" s="1"/>
  <c r="W9" i="29" s="1"/>
  <c r="W9" i="32"/>
  <c r="D20" i="32"/>
  <c r="D14" i="32"/>
  <c r="D12" i="32"/>
  <c r="D13" i="32"/>
  <c r="W18" i="32"/>
  <c r="D15" i="32"/>
  <c r="D11" i="32"/>
  <c r="D10" i="32"/>
  <c r="D16" i="32"/>
  <c r="D19" i="32"/>
  <c r="D12" i="31"/>
  <c r="D19" i="31"/>
  <c r="D11" i="31"/>
  <c r="D15" i="31" l="1"/>
  <c r="D10" i="31"/>
  <c r="W10" i="31" s="1"/>
  <c r="D16" i="31"/>
  <c r="W18" i="31"/>
  <c r="D14" i="31"/>
  <c r="W14" i="31" s="1"/>
  <c r="D13" i="31"/>
  <c r="W13" i="31" s="1"/>
  <c r="W9" i="31"/>
  <c r="D18" i="29"/>
  <c r="W18" i="29" s="1"/>
  <c r="W15" i="31"/>
  <c r="W20" i="31"/>
  <c r="W11" i="32"/>
  <c r="W19" i="32"/>
  <c r="W15" i="32"/>
  <c r="W12" i="32"/>
  <c r="W11" i="31"/>
  <c r="W21" i="32"/>
  <c r="W16" i="32"/>
  <c r="D17" i="32"/>
  <c r="W14" i="32"/>
  <c r="W21" i="31"/>
  <c r="W16" i="31"/>
  <c r="W19" i="31"/>
  <c r="W12" i="31"/>
  <c r="W10" i="32"/>
  <c r="W13" i="32"/>
  <c r="W20" i="32"/>
  <c r="D17" i="31" l="1"/>
  <c r="D10" i="29"/>
  <c r="W10" i="29" s="1"/>
  <c r="D19" i="29"/>
  <c r="W19" i="29" s="1"/>
  <c r="D15" i="29"/>
  <c r="D20" i="29"/>
  <c r="W20" i="29" s="1"/>
  <c r="D12" i="29"/>
  <c r="W12" i="29" s="1"/>
  <c r="D11" i="29"/>
  <c r="W11" i="29" s="1"/>
  <c r="D13" i="29"/>
  <c r="W13" i="29" s="1"/>
  <c r="D16" i="29"/>
  <c r="D14" i="29"/>
  <c r="W15" i="29"/>
  <c r="W22" i="32"/>
  <c r="W22" i="31"/>
  <c r="W17" i="32"/>
  <c r="X20" i="32" s="1"/>
  <c r="W17" i="31"/>
  <c r="X20" i="31" s="1"/>
  <c r="X14" i="32"/>
  <c r="X14" i="31"/>
  <c r="W14" i="29" l="1"/>
  <c r="X14" i="29" s="1"/>
  <c r="D17" i="29"/>
  <c r="W17" i="29" s="1"/>
  <c r="X20" i="29" s="1"/>
  <c r="W16" i="29"/>
  <c r="W21" i="29"/>
  <c r="W22" i="29" s="1"/>
  <c r="F12" i="21" l="1"/>
  <c r="F12" i="32"/>
  <c r="K12" i="32" s="1"/>
  <c r="U12" i="32" s="1"/>
  <c r="F12" i="29"/>
  <c r="K12" i="29" s="1"/>
  <c r="U12" i="29" s="1"/>
  <c r="F12" i="31"/>
  <c r="K12" i="31" s="1"/>
  <c r="U12" i="31" s="1"/>
  <c r="F9" i="21"/>
  <c r="F14" i="32"/>
  <c r="K14" i="32" s="1"/>
  <c r="U14" i="32" s="1"/>
  <c r="F14" i="31"/>
  <c r="K14" i="31" s="1"/>
  <c r="U14" i="31" s="1"/>
  <c r="F14" i="29"/>
  <c r="K14" i="29" s="1"/>
  <c r="U14" i="29" s="1"/>
  <c r="F15" i="21"/>
  <c r="F16" i="32"/>
  <c r="K16" i="32" s="1"/>
  <c r="U16" i="32" s="1"/>
  <c r="L16" i="32" s="1"/>
  <c r="M16" i="32" s="1"/>
  <c r="R16" i="32" s="1"/>
  <c r="F16" i="29"/>
  <c r="K16" i="29" s="1"/>
  <c r="U16" i="29" s="1"/>
  <c r="L16" i="29" s="1"/>
  <c r="M16" i="29" s="1"/>
  <c r="R16" i="29" s="1"/>
  <c r="F16" i="31"/>
  <c r="K16" i="31" s="1"/>
  <c r="U16" i="31" s="1"/>
  <c r="L16" i="31" s="1"/>
  <c r="M16" i="31" s="1"/>
  <c r="R16" i="31" s="1"/>
  <c r="F14" i="21"/>
  <c r="F15" i="32"/>
  <c r="K15" i="32" s="1"/>
  <c r="U15" i="32" s="1"/>
  <c r="L15" i="32" s="1"/>
  <c r="M15" i="32" s="1"/>
  <c r="R15" i="32" s="1"/>
  <c r="F15" i="31"/>
  <c r="K15" i="31" s="1"/>
  <c r="U15" i="31" s="1"/>
  <c r="L15" i="31" s="1"/>
  <c r="M15" i="31" s="1"/>
  <c r="R15" i="31" s="1"/>
  <c r="F15" i="29"/>
  <c r="K15" i="29" s="1"/>
  <c r="U15" i="29" s="1"/>
  <c r="L15" i="29" s="1"/>
  <c r="M15" i="29" s="1"/>
  <c r="R15" i="29" s="1"/>
  <c r="F11" i="21"/>
  <c r="F11" i="32"/>
  <c r="K11" i="32" s="1"/>
  <c r="U11" i="32" s="1"/>
  <c r="F11" i="29"/>
  <c r="K11" i="29" s="1"/>
  <c r="U11" i="29" s="1"/>
  <c r="F11" i="31"/>
  <c r="K11" i="31" s="1"/>
  <c r="U11" i="31" s="1"/>
  <c r="F13" i="21"/>
  <c r="F13" i="32"/>
  <c r="K13" i="32" s="1"/>
  <c r="U13" i="32" s="1"/>
  <c r="F13" i="31"/>
  <c r="K13" i="31" s="1"/>
  <c r="U13" i="31" s="1"/>
  <c r="F13" i="29"/>
  <c r="K13" i="29" s="1"/>
  <c r="U13" i="29" s="1"/>
  <c r="F10" i="21"/>
  <c r="F10" i="32"/>
  <c r="K10" i="32" s="1"/>
  <c r="U10" i="32" s="1"/>
  <c r="F10" i="31"/>
  <c r="K10" i="31" s="1"/>
  <c r="U10" i="31" s="1"/>
  <c r="F10" i="29"/>
  <c r="K10" i="29" s="1"/>
  <c r="U10" i="29" s="1"/>
  <c r="F19" i="21"/>
  <c r="F17" i="32"/>
  <c r="K17" i="32" s="1"/>
  <c r="U17" i="32" s="1"/>
  <c r="F17" i="31"/>
  <c r="K17" i="31" s="1"/>
  <c r="U17" i="31" s="1"/>
  <c r="F17" i="29"/>
  <c r="K17" i="29" s="1"/>
  <c r="U17" i="29" s="1"/>
  <c r="F18" i="21"/>
  <c r="F20" i="32"/>
  <c r="K20" i="32" s="1"/>
  <c r="U20" i="32" s="1"/>
  <c r="F20" i="29"/>
  <c r="K20" i="29" s="1"/>
  <c r="U20" i="29" s="1"/>
  <c r="F20" i="31"/>
  <c r="K20" i="31" s="1"/>
  <c r="U20" i="31" s="1"/>
  <c r="F17" i="21"/>
  <c r="F19" i="32"/>
  <c r="K19" i="32" s="1"/>
  <c r="U19" i="32" s="1"/>
  <c r="F19" i="31"/>
  <c r="K19" i="31" s="1"/>
  <c r="U19" i="31" s="1"/>
  <c r="F19" i="29"/>
  <c r="K19" i="29" s="1"/>
  <c r="U19" i="29" s="1"/>
  <c r="F16" i="21"/>
  <c r="F18" i="32"/>
  <c r="K18" i="32" s="1"/>
  <c r="U18" i="32" s="1"/>
  <c r="F18" i="31"/>
  <c r="K18" i="31" s="1"/>
  <c r="U18" i="31" s="1"/>
  <c r="F18" i="29"/>
  <c r="K18" i="29" s="1"/>
  <c r="U18" i="29" s="1"/>
  <c r="F9" i="32"/>
  <c r="K9" i="32" s="1"/>
  <c r="U9" i="32" s="1"/>
  <c r="F9" i="29"/>
  <c r="K9" i="29" s="1"/>
  <c r="U9" i="29" s="1"/>
  <c r="F9" i="31"/>
  <c r="K9" i="31" s="1"/>
  <c r="U9" i="31" s="1"/>
  <c r="V14" i="31" s="1"/>
  <c r="L9" i="31" s="1"/>
  <c r="M9" i="31" s="1"/>
  <c r="F8" i="21"/>
  <c r="I8" i="21" s="1"/>
  <c r="V14" i="29" l="1"/>
  <c r="L9" i="29" s="1"/>
  <c r="M9" i="29" s="1"/>
  <c r="R9" i="29" s="1"/>
  <c r="V14" i="32"/>
  <c r="L9" i="32" s="1"/>
  <c r="M9" i="32" s="1"/>
  <c r="R14" i="32" s="1"/>
  <c r="U22" i="29"/>
  <c r="V20" i="29"/>
  <c r="L17" i="29" s="1"/>
  <c r="M17" i="29" s="1"/>
  <c r="U22" i="31"/>
  <c r="V20" i="31"/>
  <c r="L17" i="31" s="1"/>
  <c r="M17" i="31" s="1"/>
  <c r="U22" i="32"/>
  <c r="V20" i="32"/>
  <c r="L17" i="32" s="1"/>
  <c r="M17" i="32" s="1"/>
  <c r="R10" i="31"/>
  <c r="R9" i="31"/>
  <c r="R13" i="31"/>
  <c r="R11" i="31"/>
  <c r="R14" i="31"/>
  <c r="R12" i="31"/>
  <c r="C20" i="20"/>
  <c r="R12" i="32" l="1"/>
  <c r="R14" i="29"/>
  <c r="R11" i="29"/>
  <c r="R9" i="32"/>
  <c r="R13" i="32"/>
  <c r="R10" i="29"/>
  <c r="R13" i="29"/>
  <c r="R12" i="29"/>
  <c r="R11" i="32"/>
  <c r="R10" i="32"/>
  <c r="R18" i="31"/>
  <c r="R19" i="31"/>
  <c r="R17" i="31"/>
  <c r="R20" i="31"/>
  <c r="R22" i="31" s="1"/>
  <c r="N9" i="31" s="1"/>
  <c r="R17" i="29"/>
  <c r="R18" i="29"/>
  <c r="R19" i="29"/>
  <c r="R22" i="29" s="1"/>
  <c r="N9" i="29" s="1"/>
  <c r="R20" i="29"/>
  <c r="R17" i="32"/>
  <c r="R18" i="32"/>
  <c r="R20" i="32"/>
  <c r="R19" i="32"/>
  <c r="E20" i="20"/>
  <c r="R22" i="32" l="1"/>
  <c r="N9" i="32" s="1"/>
  <c r="O15" i="32" s="1"/>
  <c r="P15" i="32" s="1"/>
  <c r="O15" i="31"/>
  <c r="P15" i="31" s="1"/>
  <c r="O16" i="31"/>
  <c r="P16" i="31" s="1"/>
  <c r="O17" i="31"/>
  <c r="O9" i="31"/>
  <c r="O16" i="29"/>
  <c r="P16" i="29" s="1"/>
  <c r="O17" i="29"/>
  <c r="O15" i="29"/>
  <c r="P15" i="29" s="1"/>
  <c r="O9" i="29"/>
  <c r="I16" i="21"/>
  <c r="I17" i="21"/>
  <c r="I11" i="21"/>
  <c r="I19" i="21"/>
  <c r="I14" i="21"/>
  <c r="I15" i="21"/>
  <c r="I12" i="21"/>
  <c r="O16" i="32" l="1"/>
  <c r="P16" i="32" s="1"/>
  <c r="O9" i="32"/>
  <c r="AM16" i="32"/>
  <c r="AN16" i="32" s="1"/>
  <c r="AO16" i="32" s="1"/>
  <c r="O17" i="32"/>
  <c r="AM15" i="32"/>
  <c r="AN15" i="32" s="1"/>
  <c r="AO15" i="32" s="1"/>
  <c r="Q15" i="32"/>
  <c r="AH15" i="32" s="1"/>
  <c r="AF15" i="32"/>
  <c r="AG15" i="32" s="1"/>
  <c r="Q16" i="29"/>
  <c r="AM16" i="29"/>
  <c r="AN16" i="29" s="1"/>
  <c r="AF16" i="29"/>
  <c r="AG16" i="29" s="1"/>
  <c r="P11" i="31"/>
  <c r="P14" i="31"/>
  <c r="P12" i="31"/>
  <c r="P10" i="31"/>
  <c r="P13" i="31"/>
  <c r="P9" i="31"/>
  <c r="P12" i="29"/>
  <c r="P9" i="29"/>
  <c r="P10" i="29"/>
  <c r="P14" i="29"/>
  <c r="P11" i="29"/>
  <c r="P13" i="29"/>
  <c r="P20" i="31"/>
  <c r="P17" i="31"/>
  <c r="P18" i="31"/>
  <c r="P19" i="31"/>
  <c r="Q15" i="29"/>
  <c r="AM15" i="29"/>
  <c r="AN15" i="29" s="1"/>
  <c r="AF15" i="29"/>
  <c r="AG15" i="29" s="1"/>
  <c r="AM16" i="31"/>
  <c r="AN16" i="31" s="1"/>
  <c r="AO16" i="31" s="1"/>
  <c r="Q16" i="31"/>
  <c r="AF16" i="31"/>
  <c r="AG16" i="31" s="1"/>
  <c r="P18" i="29"/>
  <c r="P17" i="29"/>
  <c r="P20" i="29"/>
  <c r="P19" i="29"/>
  <c r="AF15" i="31"/>
  <c r="AG15" i="31" s="1"/>
  <c r="Q15" i="31"/>
  <c r="AM15" i="31"/>
  <c r="AN15" i="31" s="1"/>
  <c r="AO15" i="31" s="1"/>
  <c r="I10" i="21"/>
  <c r="I13" i="21"/>
  <c r="I18" i="21"/>
  <c r="I9" i="21"/>
  <c r="T15" i="32" l="1"/>
  <c r="AN23" i="32"/>
  <c r="AN25" i="32" s="1"/>
  <c r="Q16" i="32"/>
  <c r="AF16" i="32"/>
  <c r="AG16" i="32" s="1"/>
  <c r="P14" i="32"/>
  <c r="P10" i="32"/>
  <c r="P9" i="32"/>
  <c r="P13" i="32"/>
  <c r="P11" i="32"/>
  <c r="P12" i="32"/>
  <c r="AC15" i="32"/>
  <c r="P18" i="32"/>
  <c r="P17" i="32"/>
  <c r="P19" i="32"/>
  <c r="P20" i="32"/>
  <c r="AM19" i="29"/>
  <c r="AN19" i="29" s="1"/>
  <c r="AF19" i="29"/>
  <c r="AG19" i="29" s="1"/>
  <c r="Q19" i="29"/>
  <c r="T16" i="31"/>
  <c r="AH16" i="31"/>
  <c r="AC16" i="31"/>
  <c r="Q20" i="31"/>
  <c r="AF20" i="31"/>
  <c r="AG20" i="31" s="1"/>
  <c r="AM20" i="31"/>
  <c r="AN20" i="31" s="1"/>
  <c r="AO20" i="31" s="1"/>
  <c r="AR20" i="31" s="1"/>
  <c r="AF10" i="29"/>
  <c r="AG10" i="29" s="1"/>
  <c r="AM10" i="29"/>
  <c r="AN10" i="29" s="1"/>
  <c r="Q10" i="29"/>
  <c r="AF12" i="31"/>
  <c r="AG12" i="31" s="1"/>
  <c r="Q12" i="31"/>
  <c r="AM12" i="31"/>
  <c r="AN12" i="31" s="1"/>
  <c r="AO12" i="31" s="1"/>
  <c r="AQ12" i="31" s="1"/>
  <c r="AF20" i="29"/>
  <c r="AG20" i="29" s="1"/>
  <c r="AM20" i="29"/>
  <c r="AN20" i="29" s="1"/>
  <c r="Q20" i="29"/>
  <c r="Q19" i="31"/>
  <c r="AM19" i="31"/>
  <c r="AN19" i="31" s="1"/>
  <c r="AO19" i="31" s="1"/>
  <c r="AR19" i="31" s="1"/>
  <c r="AF19" i="31"/>
  <c r="AG19" i="31" s="1"/>
  <c r="Q13" i="29"/>
  <c r="AM13" i="29"/>
  <c r="AN13" i="29" s="1"/>
  <c r="AF13" i="29"/>
  <c r="AG13" i="29" s="1"/>
  <c r="Q9" i="29"/>
  <c r="AM9" i="29"/>
  <c r="AN9" i="29" s="1"/>
  <c r="AP9" i="29" s="1"/>
  <c r="P22" i="29"/>
  <c r="AF9" i="29"/>
  <c r="AG9" i="29" s="1"/>
  <c r="Q9" i="31"/>
  <c r="AM9" i="31"/>
  <c r="AN9" i="31" s="1"/>
  <c r="AO9" i="31" s="1"/>
  <c r="P22" i="31"/>
  <c r="AF9" i="31"/>
  <c r="AG9" i="31" s="1"/>
  <c r="AM14" i="31"/>
  <c r="AN14" i="31" s="1"/>
  <c r="AO14" i="31" s="1"/>
  <c r="AQ14" i="31" s="1"/>
  <c r="Q14" i="31"/>
  <c r="AF14" i="31"/>
  <c r="AG14" i="31" s="1"/>
  <c r="AC16" i="29"/>
  <c r="T16" i="29"/>
  <c r="AH16" i="29"/>
  <c r="AM17" i="29"/>
  <c r="AN17" i="29" s="1"/>
  <c r="Q17" i="29"/>
  <c r="T17" i="29" s="1"/>
  <c r="AC15" i="29"/>
  <c r="T15" i="29"/>
  <c r="AH15" i="29"/>
  <c r="AF18" i="31"/>
  <c r="AG18" i="31" s="1"/>
  <c r="Q18" i="31"/>
  <c r="AM18" i="31"/>
  <c r="AN18" i="31" s="1"/>
  <c r="AO18" i="31" s="1"/>
  <c r="AR18" i="31" s="1"/>
  <c r="AF11" i="29"/>
  <c r="AG11" i="29" s="1"/>
  <c r="Q11" i="29"/>
  <c r="AM11" i="29"/>
  <c r="AN11" i="29" s="1"/>
  <c r="AM12" i="29"/>
  <c r="AN12" i="29" s="1"/>
  <c r="AF12" i="29"/>
  <c r="AG12" i="29" s="1"/>
  <c r="Q12" i="29"/>
  <c r="AM13" i="31"/>
  <c r="AN13" i="31" s="1"/>
  <c r="AO13" i="31" s="1"/>
  <c r="AQ13" i="31" s="1"/>
  <c r="AF13" i="31"/>
  <c r="AG13" i="31" s="1"/>
  <c r="Q13" i="31"/>
  <c r="AM11" i="31"/>
  <c r="AN11" i="31" s="1"/>
  <c r="AO11" i="31" s="1"/>
  <c r="AQ11" i="31" s="1"/>
  <c r="AF11" i="31"/>
  <c r="AG11" i="31" s="1"/>
  <c r="Q11" i="31"/>
  <c r="AH15" i="31"/>
  <c r="AC15" i="31"/>
  <c r="T15" i="31"/>
  <c r="Q18" i="29"/>
  <c r="AM18" i="29"/>
  <c r="AN18" i="29" s="1"/>
  <c r="AF18" i="29"/>
  <c r="AG18" i="29" s="1"/>
  <c r="AM17" i="31"/>
  <c r="AN17" i="31" s="1"/>
  <c r="AO17" i="31" s="1"/>
  <c r="AR17" i="31" s="1"/>
  <c r="Q17" i="31"/>
  <c r="T17" i="31" s="1"/>
  <c r="AF14" i="29"/>
  <c r="AG14" i="29" s="1"/>
  <c r="AM14" i="29"/>
  <c r="AN14" i="29" s="1"/>
  <c r="Q14" i="29"/>
  <c r="AF10" i="31"/>
  <c r="AG10" i="31" s="1"/>
  <c r="Q10" i="31"/>
  <c r="AM10" i="31"/>
  <c r="AN10" i="31" s="1"/>
  <c r="AO10" i="31" s="1"/>
  <c r="AQ10" i="31" s="1"/>
  <c r="E20" i="21"/>
  <c r="AC16" i="32" l="1"/>
  <c r="AH16" i="32"/>
  <c r="T16" i="32"/>
  <c r="AM13" i="32"/>
  <c r="AN13" i="32" s="1"/>
  <c r="AO13" i="32" s="1"/>
  <c r="AQ13" i="32" s="1"/>
  <c r="AF13" i="32"/>
  <c r="AG13" i="32" s="1"/>
  <c r="Q13" i="32"/>
  <c r="AM9" i="32"/>
  <c r="AN9" i="32" s="1"/>
  <c r="AO9" i="32" s="1"/>
  <c r="AQ9" i="32" s="1"/>
  <c r="Q9" i="32"/>
  <c r="AF9" i="32"/>
  <c r="AG9" i="32" s="1"/>
  <c r="AM12" i="32"/>
  <c r="AN12" i="32" s="1"/>
  <c r="AO12" i="32" s="1"/>
  <c r="AQ12" i="32" s="1"/>
  <c r="AF12" i="32"/>
  <c r="AG12" i="32" s="1"/>
  <c r="Q12" i="32"/>
  <c r="Q10" i="32"/>
  <c r="AF10" i="32"/>
  <c r="AG10" i="32" s="1"/>
  <c r="AM10" i="32"/>
  <c r="AN10" i="32" s="1"/>
  <c r="AO10" i="32" s="1"/>
  <c r="AQ10" i="32" s="1"/>
  <c r="AF11" i="32"/>
  <c r="AG11" i="32" s="1"/>
  <c r="AM11" i="32"/>
  <c r="AN11" i="32" s="1"/>
  <c r="AO11" i="32" s="1"/>
  <c r="AQ11" i="32" s="1"/>
  <c r="Q11" i="32"/>
  <c r="AM14" i="32"/>
  <c r="AN14" i="32" s="1"/>
  <c r="AO14" i="32" s="1"/>
  <c r="AQ14" i="32" s="1"/>
  <c r="Q14" i="32"/>
  <c r="AF14" i="32"/>
  <c r="AG14" i="32" s="1"/>
  <c r="Q20" i="32"/>
  <c r="AM20" i="32"/>
  <c r="AN20" i="32" s="1"/>
  <c r="AO20" i="32" s="1"/>
  <c r="AR20" i="32" s="1"/>
  <c r="AF20" i="32"/>
  <c r="AG20" i="32" s="1"/>
  <c r="AM19" i="32"/>
  <c r="AN19" i="32" s="1"/>
  <c r="AO19" i="32" s="1"/>
  <c r="AR19" i="32" s="1"/>
  <c r="Q19" i="32"/>
  <c r="AF19" i="32"/>
  <c r="AG19" i="32" s="1"/>
  <c r="AM17" i="32"/>
  <c r="AN17" i="32" s="1"/>
  <c r="AO17" i="32" s="1"/>
  <c r="P22" i="32"/>
  <c r="Q17" i="32"/>
  <c r="AM18" i="32"/>
  <c r="AN18" i="32" s="1"/>
  <c r="AO18" i="32" s="1"/>
  <c r="AR18" i="32" s="1"/>
  <c r="AF18" i="32"/>
  <c r="AG18" i="32" s="1"/>
  <c r="Q18" i="32"/>
  <c r="T11" i="31"/>
  <c r="AH11" i="31"/>
  <c r="AC11" i="31"/>
  <c r="AC14" i="31"/>
  <c r="AH14" i="31"/>
  <c r="T14" i="31"/>
  <c r="AQ9" i="31"/>
  <c r="AQ22" i="31" s="1"/>
  <c r="AO21" i="31"/>
  <c r="AO23" i="31" s="1"/>
  <c r="AC9" i="29"/>
  <c r="T9" i="29"/>
  <c r="Q22" i="29"/>
  <c r="D24" i="29" s="1"/>
  <c r="AH9" i="29"/>
  <c r="AC12" i="31"/>
  <c r="T12" i="31"/>
  <c r="AH12" i="31"/>
  <c r="AH18" i="29"/>
  <c r="AC18" i="29"/>
  <c r="T18" i="29"/>
  <c r="T18" i="31"/>
  <c r="AH18" i="31"/>
  <c r="AC18" i="31"/>
  <c r="AH9" i="31"/>
  <c r="Q22" i="31"/>
  <c r="D24" i="31" s="1"/>
  <c r="AC9" i="31"/>
  <c r="T9" i="31"/>
  <c r="AG22" i="29"/>
  <c r="AC10" i="29"/>
  <c r="T10" i="29"/>
  <c r="AH10" i="29"/>
  <c r="AH19" i="29"/>
  <c r="AC19" i="29"/>
  <c r="T19" i="29"/>
  <c r="AC12" i="29"/>
  <c r="AH12" i="29"/>
  <c r="T12" i="29"/>
  <c r="AH11" i="29"/>
  <c r="T11" i="29"/>
  <c r="AC11" i="29"/>
  <c r="AG22" i="31"/>
  <c r="P24" i="29"/>
  <c r="AF22" i="29"/>
  <c r="AF23" i="29" s="1"/>
  <c r="AH19" i="31"/>
  <c r="AC19" i="31"/>
  <c r="T19" i="31"/>
  <c r="AC20" i="29"/>
  <c r="AH20" i="29"/>
  <c r="T20" i="29"/>
  <c r="AC20" i="31"/>
  <c r="AH20" i="31"/>
  <c r="T20" i="31"/>
  <c r="AC10" i="31"/>
  <c r="T10" i="31"/>
  <c r="AH10" i="31"/>
  <c r="AC14" i="29"/>
  <c r="T14" i="29"/>
  <c r="AH14" i="29"/>
  <c r="AH13" i="31"/>
  <c r="AC13" i="31"/>
  <c r="T13" i="31"/>
  <c r="AF22" i="31"/>
  <c r="AF23" i="31" s="1"/>
  <c r="P24" i="31"/>
  <c r="AC13" i="29"/>
  <c r="T13" i="29"/>
  <c r="AH13" i="29"/>
  <c r="D8" i="21"/>
  <c r="D16" i="21" s="1"/>
  <c r="AG22" i="32" l="1"/>
  <c r="T14" i="32"/>
  <c r="AH14" i="32"/>
  <c r="AC14" i="32"/>
  <c r="AC10" i="32"/>
  <c r="T10" i="32"/>
  <c r="AH10" i="32"/>
  <c r="AC13" i="32"/>
  <c r="T13" i="32"/>
  <c r="AH13" i="32"/>
  <c r="AH12" i="32"/>
  <c r="T12" i="32"/>
  <c r="AC12" i="32"/>
  <c r="AC11" i="32"/>
  <c r="T11" i="32"/>
  <c r="AH11" i="32"/>
  <c r="T9" i="32"/>
  <c r="AC9" i="32"/>
  <c r="AH9" i="32"/>
  <c r="AR17" i="32"/>
  <c r="AQ22" i="32" s="1"/>
  <c r="AO21" i="32"/>
  <c r="AO23" i="32" s="1"/>
  <c r="T17" i="32"/>
  <c r="Q22" i="32"/>
  <c r="D24" i="32" s="1"/>
  <c r="T19" i="32"/>
  <c r="AH19" i="32"/>
  <c r="AC19" i="32"/>
  <c r="AH20" i="32"/>
  <c r="AC20" i="32"/>
  <c r="T20" i="32"/>
  <c r="T18" i="32"/>
  <c r="AH18" i="32"/>
  <c r="AC18" i="32"/>
  <c r="P24" i="32"/>
  <c r="AF22" i="32"/>
  <c r="AF23" i="32" s="1"/>
  <c r="AH22" i="31"/>
  <c r="AH22" i="29"/>
  <c r="F11" i="24"/>
  <c r="G11" i="24" s="1"/>
  <c r="J11" i="24" s="1"/>
  <c r="T8" i="21"/>
  <c r="F11" i="17"/>
  <c r="G11" i="17" s="1"/>
  <c r="J11" i="17" s="1"/>
  <c r="R8" i="21"/>
  <c r="D18" i="21"/>
  <c r="D19" i="21"/>
  <c r="D9" i="21"/>
  <c r="D11" i="21"/>
  <c r="D13" i="21"/>
  <c r="D15" i="21"/>
  <c r="D10" i="21"/>
  <c r="T16" i="21"/>
  <c r="D17" i="21"/>
  <c r="D14" i="21"/>
  <c r="R16" i="21"/>
  <c r="D12" i="21"/>
  <c r="AH22" i="32" l="1"/>
  <c r="F9" i="24"/>
  <c r="G9" i="24" s="1"/>
  <c r="J9" i="24" s="1"/>
  <c r="F15" i="24"/>
  <c r="G15" i="24" s="1"/>
  <c r="J15" i="24" s="1"/>
  <c r="F13" i="17"/>
  <c r="G13" i="17" s="1"/>
  <c r="J13" i="17" s="1"/>
  <c r="F18" i="17"/>
  <c r="G18" i="17" s="1"/>
  <c r="J18" i="17" s="1"/>
  <c r="F17" i="24"/>
  <c r="G17" i="24" s="1"/>
  <c r="J17" i="24" s="1"/>
  <c r="K19" i="24" s="1"/>
  <c r="H17" i="24" s="1"/>
  <c r="M19" i="24" s="1"/>
  <c r="F13" i="24"/>
  <c r="G13" i="24" s="1"/>
  <c r="J13" i="24" s="1"/>
  <c r="K16" i="24" s="1"/>
  <c r="H13" i="24" s="1"/>
  <c r="M13" i="24" s="1"/>
  <c r="N13" i="24" s="1"/>
  <c r="T12" i="21"/>
  <c r="R12" i="21"/>
  <c r="T14" i="21"/>
  <c r="R14" i="21"/>
  <c r="T19" i="21"/>
  <c r="R19" i="21"/>
  <c r="R11" i="21"/>
  <c r="T11" i="21"/>
  <c r="T10" i="21"/>
  <c r="R10" i="21"/>
  <c r="R9" i="21"/>
  <c r="T9" i="21"/>
  <c r="R15" i="21"/>
  <c r="T15" i="21"/>
  <c r="R17" i="21"/>
  <c r="T17" i="21"/>
  <c r="R13" i="21"/>
  <c r="T13" i="21"/>
  <c r="T18" i="21"/>
  <c r="R18" i="21"/>
  <c r="F10" i="17" l="1"/>
  <c r="G10" i="17" s="1"/>
  <c r="F16" i="24"/>
  <c r="G16" i="24" s="1"/>
  <c r="J16" i="24" s="1"/>
  <c r="F12" i="17"/>
  <c r="G12" i="17" s="1"/>
  <c r="J12" i="17" s="1"/>
  <c r="F14" i="17"/>
  <c r="G14" i="17" s="1"/>
  <c r="J14" i="17" s="1"/>
  <c r="F15" i="17"/>
  <c r="G15" i="17" s="1"/>
  <c r="J15" i="17" s="1"/>
  <c r="F8" i="24"/>
  <c r="G8" i="24" s="1"/>
  <c r="J8" i="24" s="1"/>
  <c r="K10" i="24" s="1"/>
  <c r="H8" i="24" s="1"/>
  <c r="F8" i="17"/>
  <c r="G8" i="17" s="1"/>
  <c r="J8" i="17" s="1"/>
  <c r="F18" i="24"/>
  <c r="G18" i="24" s="1"/>
  <c r="J18" i="24" s="1"/>
  <c r="F16" i="17"/>
  <c r="G16" i="17" s="1"/>
  <c r="J16" i="17" s="1"/>
  <c r="F19" i="24"/>
  <c r="G19" i="24" s="1"/>
  <c r="J19" i="24" s="1"/>
  <c r="F12" i="24"/>
  <c r="G12" i="24" s="1"/>
  <c r="J12" i="24" s="1"/>
  <c r="K12" i="24" s="1"/>
  <c r="H11" i="24" s="1"/>
  <c r="M11" i="24" s="1"/>
  <c r="N11" i="24" s="1"/>
  <c r="F19" i="17"/>
  <c r="G19" i="17" s="1"/>
  <c r="J19" i="17" s="1"/>
  <c r="F17" i="17"/>
  <c r="G17" i="17" s="1"/>
  <c r="J17" i="17" s="1"/>
  <c r="F10" i="24"/>
  <c r="F9" i="17"/>
  <c r="G9" i="17" s="1"/>
  <c r="F14" i="24"/>
  <c r="G14" i="24" s="1"/>
  <c r="J14" i="24" s="1"/>
  <c r="M18" i="24"/>
  <c r="M17" i="24"/>
  <c r="N17" i="24" s="1"/>
  <c r="I17" i="24"/>
  <c r="I13" i="24"/>
  <c r="M14" i="24"/>
  <c r="M15" i="24"/>
  <c r="N15" i="24" s="1"/>
  <c r="M16" i="24"/>
  <c r="U19" i="21"/>
  <c r="S19" i="21"/>
  <c r="U15" i="21"/>
  <c r="S15" i="21"/>
  <c r="T20" i="21"/>
  <c r="R20" i="21"/>
  <c r="F20" i="24" l="1"/>
  <c r="N16" i="24"/>
  <c r="N18" i="24"/>
  <c r="K11" i="17"/>
  <c r="H11" i="17" s="1"/>
  <c r="M12" i="17" s="1"/>
  <c r="N12" i="17" s="1"/>
  <c r="K14" i="17"/>
  <c r="H13" i="17" s="1"/>
  <c r="M15" i="17" s="1"/>
  <c r="N15" i="17" s="1"/>
  <c r="N19" i="24"/>
  <c r="M12" i="24"/>
  <c r="N12" i="24" s="1"/>
  <c r="K19" i="17"/>
  <c r="H16" i="17" s="1"/>
  <c r="M16" i="17" s="1"/>
  <c r="N16" i="17" s="1"/>
  <c r="M10" i="24"/>
  <c r="N10" i="24" s="1"/>
  <c r="I8" i="24"/>
  <c r="M9" i="24"/>
  <c r="N9" i="24" s="1"/>
  <c r="M8" i="24"/>
  <c r="N8" i="24" s="1"/>
  <c r="F20" i="17"/>
  <c r="K10" i="17"/>
  <c r="H8" i="17" s="1"/>
  <c r="M9" i="17" s="1"/>
  <c r="N9" i="17" s="1"/>
  <c r="N14" i="24"/>
  <c r="G10" i="24"/>
  <c r="J10" i="24" s="1"/>
  <c r="I11" i="17"/>
  <c r="J8" i="21"/>
  <c r="K8" i="21" s="1"/>
  <c r="P9" i="21" s="1"/>
  <c r="J16" i="21"/>
  <c r="K16" i="21" s="1"/>
  <c r="P17" i="21" s="1"/>
  <c r="M18" i="17" l="1"/>
  <c r="N18" i="17" s="1"/>
  <c r="M11" i="17"/>
  <c r="N11" i="17" s="1"/>
  <c r="M14" i="17"/>
  <c r="N14" i="17" s="1"/>
  <c r="I13" i="17"/>
  <c r="M13" i="17"/>
  <c r="N13" i="17" s="1"/>
  <c r="M19" i="17"/>
  <c r="N19" i="17" s="1"/>
  <c r="M17" i="17"/>
  <c r="N17" i="17" s="1"/>
  <c r="I16" i="17"/>
  <c r="M8" i="17"/>
  <c r="N8" i="17" s="1"/>
  <c r="I8" i="17"/>
  <c r="M10" i="17"/>
  <c r="N10" i="17" s="1"/>
  <c r="P12" i="21"/>
  <c r="P8" i="21"/>
  <c r="P14" i="21"/>
  <c r="P16" i="21"/>
  <c r="P19" i="21"/>
  <c r="P10" i="21"/>
  <c r="P13" i="21"/>
  <c r="P18" i="21"/>
  <c r="P15" i="21"/>
  <c r="P11" i="21"/>
  <c r="P20" i="21" l="1"/>
  <c r="L8" i="21" s="1"/>
  <c r="M8" i="21" s="1"/>
  <c r="M16" i="21" l="1"/>
  <c r="N18" i="21" s="1"/>
  <c r="O18" i="21" s="1"/>
  <c r="N8" i="21"/>
  <c r="O8" i="21" s="1"/>
  <c r="N12" i="21"/>
  <c r="O12" i="21" s="1"/>
  <c r="N11" i="21"/>
  <c r="O11" i="21" s="1"/>
  <c r="N9" i="21"/>
  <c r="O9" i="21" s="1"/>
  <c r="N13" i="21"/>
  <c r="O13" i="21" s="1"/>
  <c r="N15" i="21"/>
  <c r="O15" i="21" s="1"/>
  <c r="N10" i="21"/>
  <c r="O10" i="21" s="1"/>
  <c r="N14" i="21"/>
  <c r="O14" i="21" s="1"/>
  <c r="N17" i="21" l="1"/>
  <c r="O17" i="21" s="1"/>
  <c r="Q17" i="21" s="1"/>
  <c r="N19" i="21"/>
  <c r="O19" i="21" s="1"/>
  <c r="F12" i="22" s="1"/>
  <c r="G12" i="22" s="1"/>
  <c r="J12" i="22" s="1"/>
  <c r="N16" i="21"/>
  <c r="O16" i="21" s="1"/>
  <c r="Q16" i="21" s="1"/>
  <c r="Q14" i="21"/>
  <c r="F14" i="23"/>
  <c r="G14" i="23" s="1"/>
  <c r="J14" i="23" s="1"/>
  <c r="F15" i="22"/>
  <c r="G15" i="22" s="1"/>
  <c r="J15" i="22" s="1"/>
  <c r="Q10" i="21"/>
  <c r="F10" i="23"/>
  <c r="G10" i="23" s="1"/>
  <c r="J10" i="23" s="1"/>
  <c r="F13" i="22"/>
  <c r="G13" i="22" s="1"/>
  <c r="J13" i="22" s="1"/>
  <c r="Q13" i="21"/>
  <c r="F13" i="23"/>
  <c r="G13" i="23" s="1"/>
  <c r="J13" i="23" s="1"/>
  <c r="F18" i="22"/>
  <c r="G18" i="22" s="1"/>
  <c r="J18" i="22" s="1"/>
  <c r="Q12" i="21"/>
  <c r="F14" i="22"/>
  <c r="G14" i="22" s="1"/>
  <c r="J14" i="22" s="1"/>
  <c r="F12" i="23"/>
  <c r="G12" i="23" s="1"/>
  <c r="J12" i="23" s="1"/>
  <c r="F8" i="23"/>
  <c r="F8" i="22"/>
  <c r="Q15" i="21"/>
  <c r="F15" i="23"/>
  <c r="G15" i="23" s="1"/>
  <c r="J15" i="23" s="1"/>
  <c r="F19" i="22"/>
  <c r="G19" i="22" s="1"/>
  <c r="J19" i="22" s="1"/>
  <c r="Q9" i="21"/>
  <c r="F9" i="23"/>
  <c r="G9" i="23" s="1"/>
  <c r="J9" i="23" s="1"/>
  <c r="F16" i="22"/>
  <c r="G16" i="22" s="1"/>
  <c r="J16" i="22" s="1"/>
  <c r="Q11" i="21"/>
  <c r="F11" i="23"/>
  <c r="G11" i="23" s="1"/>
  <c r="J11" i="23" s="1"/>
  <c r="F17" i="22"/>
  <c r="G17" i="22" s="1"/>
  <c r="J17" i="22" s="1"/>
  <c r="Q18" i="21"/>
  <c r="F18" i="23"/>
  <c r="G18" i="23" s="1"/>
  <c r="J18" i="23" s="1"/>
  <c r="F11" i="22"/>
  <c r="G11" i="22" s="1"/>
  <c r="J11" i="22" s="1"/>
  <c r="Q8" i="21"/>
  <c r="F17" i="23" l="1"/>
  <c r="G17" i="23" s="1"/>
  <c r="J17" i="23" s="1"/>
  <c r="F10" i="22"/>
  <c r="G10" i="22" s="1"/>
  <c r="J10" i="22" s="1"/>
  <c r="F16" i="23"/>
  <c r="G16" i="23" s="1"/>
  <c r="J16" i="23" s="1"/>
  <c r="K19" i="23" s="1"/>
  <c r="H16" i="23" s="1"/>
  <c r="N19" i="23" s="1"/>
  <c r="Q19" i="21"/>
  <c r="F19" i="23"/>
  <c r="G19" i="23" s="1"/>
  <c r="J19" i="23" s="1"/>
  <c r="O20" i="21"/>
  <c r="D22" i="21" s="1"/>
  <c r="F9" i="22"/>
  <c r="G9" i="22" s="1"/>
  <c r="J9" i="22" s="1"/>
  <c r="N20" i="21"/>
  <c r="N22" i="21" s="1"/>
  <c r="K19" i="22"/>
  <c r="H16" i="22" s="1"/>
  <c r="F20" i="22"/>
  <c r="G8" i="22"/>
  <c r="J8" i="22" s="1"/>
  <c r="K12" i="22" s="1"/>
  <c r="H8" i="22" s="1"/>
  <c r="K15" i="22"/>
  <c r="H13" i="22" s="1"/>
  <c r="G8" i="23"/>
  <c r="J8" i="23" s="1"/>
  <c r="K15" i="23" s="1"/>
  <c r="H8" i="23" s="1"/>
  <c r="O19" i="23" l="1"/>
  <c r="F20" i="23"/>
  <c r="P22" i="23" s="1"/>
  <c r="Q20" i="21"/>
  <c r="O22" i="21"/>
  <c r="N16" i="23"/>
  <c r="O16" i="23" s="1"/>
  <c r="N17" i="23"/>
  <c r="O17" i="23" s="1"/>
  <c r="N18" i="23"/>
  <c r="O18" i="23" s="1"/>
  <c r="I16" i="23"/>
  <c r="N9" i="22"/>
  <c r="O9" i="22" s="1"/>
  <c r="N11" i="22"/>
  <c r="O11" i="22" s="1"/>
  <c r="N8" i="22"/>
  <c r="O8" i="22" s="1"/>
  <c r="N12" i="22"/>
  <c r="O12" i="22" s="1"/>
  <c r="N10" i="22"/>
  <c r="O10" i="22" s="1"/>
  <c r="F21" i="23"/>
  <c r="N8" i="23"/>
  <c r="O8" i="23" s="1"/>
  <c r="N9" i="23"/>
  <c r="O9" i="23" s="1"/>
  <c r="I8" i="23"/>
  <c r="N12" i="23"/>
  <c r="O12" i="23" s="1"/>
  <c r="N14" i="23"/>
  <c r="O14" i="23" s="1"/>
  <c r="N11" i="23"/>
  <c r="O11" i="23" s="1"/>
  <c r="N13" i="23"/>
  <c r="O13" i="23" s="1"/>
  <c r="N15" i="23"/>
  <c r="O15" i="23" s="1"/>
  <c r="N10" i="23"/>
  <c r="O10" i="23" s="1"/>
  <c r="H21" i="23"/>
  <c r="N17" i="22"/>
  <c r="O17" i="22" s="1"/>
  <c r="N19" i="22"/>
  <c r="O19" i="22" s="1"/>
  <c r="N16" i="22"/>
  <c r="O16" i="22" s="1"/>
  <c r="N18" i="22"/>
  <c r="O18" i="22" s="1"/>
  <c r="N14" i="22"/>
  <c r="O14" i="22" s="1"/>
  <c r="N15" i="22"/>
  <c r="O15" i="22" s="1"/>
  <c r="N13" i="22"/>
  <c r="O13" i="22" s="1"/>
  <c r="P23" i="23" l="1"/>
  <c r="P24" i="23"/>
</calcChain>
</file>

<file path=xl/comments1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6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Казенцева О.И.</author>
  </authors>
  <commentList>
    <comment ref="N18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<sst xmlns="http://schemas.openxmlformats.org/spreadsheetml/2006/main" count="403" uniqueCount="122">
  <si>
    <t>РАСЧЁТ</t>
  </si>
  <si>
    <t>МОГБУЗ "Ольская РБ"</t>
  </si>
  <si>
    <t>МОГБУЗ "Хасынская РБ"</t>
  </si>
  <si>
    <t>МОГБУЗ "Ягоднинская РБ"</t>
  </si>
  <si>
    <t>МОГБУЗ "Среднеканская РБ"</t>
  </si>
  <si>
    <t>МОГБУЗ "Тенькинская РБ"</t>
  </si>
  <si>
    <t>МОГБУЗ "Омсукчанская РБ"</t>
  </si>
  <si>
    <t>№ п.п.</t>
  </si>
  <si>
    <t>Наименование МО</t>
  </si>
  <si>
    <t>Объемы по нормативу ТПОМС (0,327)</t>
  </si>
  <si>
    <t>Коэффициенты дифференциации</t>
  </si>
  <si>
    <t>По половозрастной структуре</t>
  </si>
  <si>
    <t>МОГБУЗ "Сусуманская РБ"</t>
  </si>
  <si>
    <t>ИТОГО Магаданская область (без Северо-Эвенского района)</t>
  </si>
  <si>
    <r>
      <rPr>
        <b/>
        <sz val="14"/>
        <rFont val="Times New Roman"/>
        <family val="1"/>
        <charset val="204"/>
      </rPr>
      <t>КД</t>
    </r>
    <r>
      <rPr>
        <b/>
        <sz val="9"/>
        <rFont val="Times New Roman"/>
        <family val="1"/>
        <charset val="204"/>
      </rPr>
      <t>ИНТ</t>
    </r>
  </si>
  <si>
    <r>
      <t>КД</t>
    </r>
    <r>
      <rPr>
        <b/>
        <sz val="9"/>
        <rFont val="Times New Roman"/>
        <family val="1"/>
        <charset val="204"/>
      </rPr>
      <t>ПВС</t>
    </r>
  </si>
  <si>
    <t>для расчётов</t>
  </si>
  <si>
    <t>для расчёта ПК</t>
  </si>
  <si>
    <t>не удалять - участвует в расчётах</t>
  </si>
  <si>
    <t>Объем финансового обеспечения  медицинской организации, оказывающей СМП по подушевому финансированию на год</t>
  </si>
  <si>
    <t>Средневзвешенный тариф для группы</t>
  </si>
  <si>
    <t>Тариф для МО</t>
  </si>
  <si>
    <t>ГБУЗ "Магаданская областная детская больница"</t>
  </si>
  <si>
    <t>МОГБУЗ "Поликлиника № 1"</t>
  </si>
  <si>
    <t>МОГБУЗ "Поликлиника № 2"</t>
  </si>
  <si>
    <t>МОГБУЗ "Поликлиника № 3"</t>
  </si>
  <si>
    <t>МОГБУЗ "МСЧ "Авиамедицина""</t>
  </si>
  <si>
    <t>Кол-во посещений</t>
  </si>
  <si>
    <t>Фактический дифференцированный подушевой норматив финансирования 
АМП</t>
  </si>
  <si>
    <t>Предельный размер финансового обеспечения  медицинской организации, оказывающей АМП по подушевому финансированию                        на год</t>
  </si>
  <si>
    <r>
      <t>ФО</t>
    </r>
    <r>
      <rPr>
        <b/>
        <sz val="10"/>
        <rFont val="Times New Roman"/>
        <family val="1"/>
        <charset val="204"/>
      </rPr>
      <t>ПРЕД</t>
    </r>
  </si>
  <si>
    <r>
      <rPr>
        <sz val="16"/>
        <rFont val="Times New Roman"/>
        <family val="1"/>
        <charset val="204"/>
      </rPr>
      <t>Пн</t>
    </r>
    <r>
      <rPr>
        <sz val="10"/>
        <rFont val="Times New Roman"/>
        <family val="1"/>
        <charset val="204"/>
      </rPr>
      <t xml:space="preserve"> БАЗ</t>
    </r>
  </si>
  <si>
    <r>
      <rPr>
        <sz val="16"/>
        <rFont val="Times New Roman"/>
        <family val="1"/>
        <charset val="204"/>
      </rPr>
      <t>Чз</t>
    </r>
    <r>
      <rPr>
        <sz val="10"/>
        <rFont val="Times New Roman"/>
        <family val="1"/>
        <charset val="204"/>
      </rPr>
      <t xml:space="preserve"> ПР</t>
    </r>
  </si>
  <si>
    <r>
      <t>КД</t>
    </r>
    <r>
      <rPr>
        <b/>
        <sz val="9"/>
        <rFont val="Times New Roman"/>
        <family val="1"/>
        <charset val="204"/>
      </rPr>
      <t>ПН</t>
    </r>
  </si>
  <si>
    <r>
      <t>КД</t>
    </r>
    <r>
      <rPr>
        <b/>
        <sz val="9"/>
        <rFont val="Times New Roman"/>
        <family val="1"/>
        <charset val="204"/>
      </rPr>
      <t>сп</t>
    </r>
  </si>
  <si>
    <t>По уровню расходов на содержание отдельных структурных подразделений</t>
  </si>
  <si>
    <t>Интегрированный коэффициент</t>
  </si>
  <si>
    <t>Средневзвешенное значение Кдинт</t>
  </si>
  <si>
    <t>Дифференцированны подушевой норматив финасирования 
АМП  для i группы</t>
  </si>
  <si>
    <t>СКД интi</t>
  </si>
  <si>
    <t>Дпнi</t>
  </si>
  <si>
    <t>ПК</t>
  </si>
  <si>
    <t>Поправочный коэффициент</t>
  </si>
  <si>
    <t>норматив объёмов на душу населения</t>
  </si>
  <si>
    <t>Численность прикрепленных, застрахованных лиц                                              на 01.01.17 (чел.)</t>
  </si>
  <si>
    <t>РАСЧЕТ ГРУППОВЫХ ТАРИФОВ НА ПОСЕЩЕНИЕ, ОБРАЩЕНИЕ ВРАЧА-ТЕРАПЕВТА (УЧАСТКОВОГО), ВРАЧА ОБЩЕЙ ПРАКТИКИ  НА 2017 ГОД</t>
  </si>
  <si>
    <t>ПОСЕЩЕНИЯ С ПРОФ.ЦЕЛЬЮ</t>
  </si>
  <si>
    <t>ОБРАЩЕНИЯ ПО ЗАБОЛЕВАНИЮ</t>
  </si>
  <si>
    <t>Коэффициент плотности населения</t>
  </si>
  <si>
    <t>КОЭФФИЦИЕНТА ПЛОТНОСТИ НАСЕЛЕНИЯ</t>
  </si>
  <si>
    <t>МОГАУЗ "Хасынская РБ"</t>
  </si>
  <si>
    <t>ФДПнi</t>
  </si>
  <si>
    <r>
      <t xml:space="preserve">Подушевой норматив финасирования 
АМП                             </t>
    </r>
    <r>
      <rPr>
        <b/>
        <sz val="14"/>
        <rFont val="Times New Roman"/>
        <family val="1"/>
        <charset val="204"/>
      </rPr>
      <t>на месяц</t>
    </r>
  </si>
  <si>
    <t>Размер финансового обеспечения  медицинской организации, оказывающей АМП по подушевому финансированию                        на месяц</t>
  </si>
  <si>
    <r>
      <t>ФО</t>
    </r>
    <r>
      <rPr>
        <b/>
        <sz val="10"/>
        <rFont val="Times New Roman"/>
        <family val="1"/>
        <charset val="204"/>
      </rPr>
      <t>МЕС</t>
    </r>
  </si>
  <si>
    <t>Предельный объем финансового обеспечения   медицинской организаций, имеющих прикрепленное население на 2017 год                                                                     (врачи-терапевты участковые, врачи-педиатры участковые, врачи общей практики)</t>
  </si>
  <si>
    <t>Численность обслуживаемых, застрахованных лиц  на 01.12.17 (чел.)</t>
  </si>
  <si>
    <t>РАСЧЕТ ГРУППОВЫХ ТАРИФОВ НА ПОСЕЩЕНИЕ, ОБРАЩЕНИЕ ВРАЧА-СПЕЦИАЛИСТА НА 2018 ГОД</t>
  </si>
  <si>
    <t>Численность прикрепленных, застрахованных лиц                                              на 01.03.18 (чел.)</t>
  </si>
  <si>
    <t>СУММА НА ГОД</t>
  </si>
  <si>
    <t>разица с ежемесяным финансированием с марта 2018</t>
  </si>
  <si>
    <t xml:space="preserve">Предельный объем финансового обеспечения   медицинской организаций, имеющих прикрепленное население на 2018 год                                                                                                                                                              (за исключением медицинской помощи по акушерству и гинекологии и стоматологической медицинской помощи) + стационар         </t>
  </si>
  <si>
    <t>разница в финансировании за 5 мес.</t>
  </si>
  <si>
    <t xml:space="preserve">По уровню расходов на содержание отдельных структурных подразделений </t>
  </si>
  <si>
    <t>дневной стационар</t>
  </si>
  <si>
    <t>круглсуточный стационар</t>
  </si>
  <si>
    <r>
      <t>КД</t>
    </r>
    <r>
      <rPr>
        <b/>
        <sz val="9"/>
        <rFont val="Times New Roman"/>
        <family val="1"/>
        <charset val="204"/>
      </rPr>
      <t>сп(АМП)</t>
    </r>
  </si>
  <si>
    <r>
      <t>КД</t>
    </r>
    <r>
      <rPr>
        <b/>
        <sz val="9"/>
        <rFont val="Times New Roman"/>
        <family val="1"/>
        <charset val="204"/>
      </rPr>
      <t>сп(ДС)</t>
    </r>
  </si>
  <si>
    <r>
      <t>КД</t>
    </r>
    <r>
      <rPr>
        <b/>
        <sz val="9"/>
        <rFont val="Times New Roman"/>
        <family val="1"/>
        <charset val="204"/>
      </rPr>
      <t>сп(КС)</t>
    </r>
  </si>
  <si>
    <t>АМП</t>
  </si>
  <si>
    <t>должно быть</t>
  </si>
  <si>
    <t xml:space="preserve"> - переместить в круглосутку</t>
  </si>
  <si>
    <t>снять с круглосутки</t>
  </si>
  <si>
    <t xml:space="preserve"> - переместить в дневной</t>
  </si>
  <si>
    <t xml:space="preserve">Роддом </t>
  </si>
  <si>
    <r>
      <rPr>
        <b/>
        <sz val="16"/>
        <rFont val="Times New Roman"/>
        <family val="1"/>
        <charset val="204"/>
      </rPr>
      <t>ДПН</t>
    </r>
    <r>
      <rPr>
        <b/>
        <sz val="12"/>
        <rFont val="Times New Roman"/>
        <family val="1"/>
        <charset val="204"/>
      </rPr>
      <t>i</t>
    </r>
  </si>
  <si>
    <r>
      <rPr>
        <b/>
        <sz val="16"/>
        <rFont val="Times New Roman"/>
        <family val="1"/>
        <charset val="204"/>
      </rPr>
      <t>ЧЗ</t>
    </r>
    <r>
      <rPr>
        <sz val="12"/>
        <rFont val="Times New Roman"/>
        <family val="1"/>
        <charset val="204"/>
      </rPr>
      <t>ПР</t>
    </r>
  </si>
  <si>
    <r>
      <rPr>
        <b/>
        <sz val="16"/>
        <rFont val="Times New Roman"/>
        <family val="1"/>
        <charset val="204"/>
      </rPr>
      <t>ФО</t>
    </r>
    <r>
      <rPr>
        <sz val="12"/>
        <rFont val="Times New Roman"/>
        <family val="1"/>
        <charset val="204"/>
      </rPr>
      <t>МЕС</t>
    </r>
  </si>
  <si>
    <t>ГБУЗ "Магаданская областная больница"</t>
  </si>
  <si>
    <t>МОГБУЗ "Городская поликлиника"</t>
  </si>
  <si>
    <t>Базовый (средний) подушевой норматив финансирования на месяц, рублей</t>
  </si>
  <si>
    <t>ФОгод</t>
  </si>
  <si>
    <t>КДот</t>
  </si>
  <si>
    <r>
      <t>КД</t>
    </r>
    <r>
      <rPr>
        <b/>
        <sz val="10"/>
        <rFont val="Times New Roman"/>
        <family val="1"/>
        <charset val="204"/>
      </rPr>
      <t>ПВ</t>
    </r>
  </si>
  <si>
    <r>
      <t>КД</t>
    </r>
    <r>
      <rPr>
        <b/>
        <sz val="10"/>
        <rFont val="Times New Roman"/>
        <family val="1"/>
        <charset val="204"/>
      </rPr>
      <t>УР</t>
    </r>
  </si>
  <si>
    <r>
      <t>КД</t>
    </r>
    <r>
      <rPr>
        <b/>
        <sz val="10"/>
        <rFont val="Times New Roman"/>
        <family val="1"/>
        <charset val="204"/>
      </rPr>
      <t>ЗП</t>
    </r>
  </si>
  <si>
    <t>№ п/п</t>
  </si>
  <si>
    <r>
      <rPr>
        <b/>
        <sz val="16"/>
        <color theme="1"/>
        <rFont val="Times New Roman"/>
        <family val="1"/>
        <charset val="204"/>
      </rPr>
      <t>ПН</t>
    </r>
    <r>
      <rPr>
        <sz val="12"/>
        <color theme="1"/>
        <rFont val="Times New Roman"/>
        <family val="1"/>
        <charset val="204"/>
      </rPr>
      <t>БАЗ</t>
    </r>
  </si>
  <si>
    <r>
      <rPr>
        <b/>
        <sz val="16"/>
        <color theme="1"/>
        <rFont val="Times New Roman"/>
        <family val="1"/>
        <charset val="204"/>
      </rPr>
      <t>ПН</t>
    </r>
    <r>
      <rPr>
        <sz val="12"/>
        <color theme="1"/>
        <rFont val="Times New Roman"/>
        <family val="1"/>
        <charset val="204"/>
      </rPr>
      <t>БАЗ/А</t>
    </r>
  </si>
  <si>
    <r>
      <rPr>
        <b/>
        <sz val="16"/>
        <rFont val="Times New Roman"/>
        <family val="1"/>
        <charset val="204"/>
      </rPr>
      <t>ДПН</t>
    </r>
    <r>
      <rPr>
        <b/>
        <sz val="12"/>
        <rFont val="Times New Roman"/>
        <family val="1"/>
        <charset val="204"/>
      </rPr>
      <t>i/А</t>
    </r>
  </si>
  <si>
    <r>
      <t>ФО</t>
    </r>
    <r>
      <rPr>
        <b/>
        <i/>
        <sz val="16"/>
        <rFont val="Times New Roman"/>
        <family val="1"/>
        <charset val="204"/>
      </rPr>
      <t>год/А</t>
    </r>
  </si>
  <si>
    <r>
      <rPr>
        <b/>
        <sz val="16"/>
        <rFont val="Times New Roman"/>
        <family val="1"/>
        <charset val="204"/>
      </rPr>
      <t>ФО</t>
    </r>
    <r>
      <rPr>
        <i/>
        <sz val="12"/>
        <rFont val="Times New Roman"/>
        <family val="1"/>
        <charset val="204"/>
      </rPr>
      <t>МЕС/А</t>
    </r>
  </si>
  <si>
    <t>Размер финансового обеспечения  медицинской организации, оказывающей АМП (за исключением профилей "Акушерство и гинекология" и "Стоматология") по подушевому финансированию без учёта выплат по показателям результативности,                          на год               (рублей)</t>
  </si>
  <si>
    <t>Дифференцированны подушевой норматив финасирования 
АМП  для i группы по профилю "Стоматология"                      (рублей)</t>
  </si>
  <si>
    <t>Размер финансового обеспечения  медицинской организации, оказывающей АМП по профилю "Стоматология", имеющих прикреившихся лиц (без учёта выплат по показателям результативности),                          на год               (рублей)</t>
  </si>
  <si>
    <r>
      <rPr>
        <b/>
        <sz val="16"/>
        <color theme="1"/>
        <rFont val="Times New Roman"/>
        <family val="1"/>
        <charset val="204"/>
      </rPr>
      <t>ПН</t>
    </r>
    <r>
      <rPr>
        <sz val="12"/>
        <color theme="1"/>
        <rFont val="Times New Roman"/>
        <family val="1"/>
        <charset val="204"/>
      </rPr>
      <t>БАЗ/С</t>
    </r>
  </si>
  <si>
    <r>
      <rPr>
        <b/>
        <sz val="16"/>
        <rFont val="Times New Roman"/>
        <family val="1"/>
        <charset val="204"/>
      </rPr>
      <t>ФО</t>
    </r>
    <r>
      <rPr>
        <i/>
        <sz val="12"/>
        <rFont val="Times New Roman"/>
        <family val="1"/>
        <charset val="204"/>
      </rPr>
      <t>МЕС/С</t>
    </r>
  </si>
  <si>
    <r>
      <t>ФО</t>
    </r>
    <r>
      <rPr>
        <b/>
        <i/>
        <sz val="16"/>
        <rFont val="Times New Roman"/>
        <family val="1"/>
        <charset val="204"/>
      </rPr>
      <t>год/С</t>
    </r>
  </si>
  <si>
    <r>
      <rPr>
        <b/>
        <sz val="16"/>
        <rFont val="Times New Roman"/>
        <family val="1"/>
        <charset val="204"/>
      </rPr>
      <t>ДПН</t>
    </r>
    <r>
      <rPr>
        <b/>
        <sz val="12"/>
        <rFont val="Times New Roman"/>
        <family val="1"/>
        <charset val="204"/>
      </rPr>
      <t>i/С</t>
    </r>
  </si>
  <si>
    <t>Таблица 1</t>
  </si>
  <si>
    <t>Таблица 2</t>
  </si>
  <si>
    <t>Таблица 3</t>
  </si>
  <si>
    <t>Размер финансового обеспечения  медицинской организации, оказывающей АМП по профилю "Акушерство и гинекология",  имеющих прикреившихся лиц (без учёта выплат по показателям результативности),                          на год               (рублей)</t>
  </si>
  <si>
    <t xml:space="preserve">Коэффициенты </t>
  </si>
  <si>
    <t>ГБУЗ "Магаданский областной центр охраны материнства и детства"</t>
  </si>
  <si>
    <t>Коэффициент половозрастного состава</t>
  </si>
  <si>
    <t>Коэффициент достижения целевых показателей уровня заработной платы медицинских работников, предусмотренного "дорожными картами" развития здравоохранения в субъекте Российской Федерации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</si>
  <si>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человек, и расходов на их содержание и оплату труда персонала</t>
  </si>
  <si>
    <t>Коэффициент уровня расходов медицинских организаций (особенности плотности населения, транспортной доступности, климатических и географических особенностей, площади медицинской организации)</t>
  </si>
  <si>
    <t>Дифференцированны подушевой норматив финасирования 
АМП  для i группы по профилю "Акушерсвто и гинекология" на месяц                      (рублей)</t>
  </si>
  <si>
    <t>Дифференцированны подушевой норматив финасирования 
АМП (за исключением профилей "Акушерство и гинекология" и "Стоматология") для i группы на месяц                     (рублей)</t>
  </si>
  <si>
    <t>Размер финансового обеспечения  медицинской организации, оказывающей АМП (за исключением профилей "Акушерство и гинекология" и "Стоматология") по подушевому финансированию,  без учёта выплат по показателям результативности,                     на месяц                                                  с 01.02.2024г.            (рублей)</t>
  </si>
  <si>
    <t>Размер финансового обеспечения  медицинской организации, оказывающей АМП по профилю "Акушерство и гинекология",  имеющих прикреившихся лиц (без учёта выплат по показателям результативности),                     на месяц                                                  с 01.02.2024г.            (рублей)</t>
  </si>
  <si>
    <t>Размер финансового обеспечения  медицинской организации, оказывающей по профилю "Стоматология", имеющих прикреившихся лиц (без учёта выплат по показателям результативности),                     на месяц                                                  с 01.02.2024г.            (рублей)</t>
  </si>
  <si>
    <r>
      <t xml:space="preserve">Объём финансового обеспечения медицинских организаций, оказывающих амбулаторную медицинскую помощь 
</t>
    </r>
    <r>
      <rPr>
        <b/>
        <u/>
        <sz val="14"/>
        <rFont val="Times New Roman"/>
        <family val="1"/>
        <charset val="204"/>
      </rPr>
      <t>по профилю "Стоматология"</t>
    </r>
    <r>
      <rPr>
        <b/>
        <sz val="14"/>
        <rFont val="Times New Roman"/>
        <family val="1"/>
        <charset val="204"/>
      </rPr>
      <t xml:space="preserve">, имеющих прикрепившихся лиц, на 2024 год     </t>
    </r>
  </si>
  <si>
    <r>
      <t xml:space="preserve">Объём финансового обеспечения медицинских организаций, оказывающих амбулаторную медицинскую помощь 
</t>
    </r>
    <r>
      <rPr>
        <b/>
        <u/>
        <sz val="14"/>
        <rFont val="Times New Roman"/>
        <family val="1"/>
        <charset val="204"/>
      </rPr>
      <t>по профилю "Акушерство и гинекология"</t>
    </r>
    <r>
      <rPr>
        <b/>
        <sz val="14"/>
        <rFont val="Times New Roman"/>
        <family val="1"/>
        <charset val="204"/>
      </rPr>
      <t xml:space="preserve">, имеющих прикрепившихся лиц,  на 2024 год   </t>
    </r>
  </si>
  <si>
    <t>(вступает в действие с 01 февраля 2024 года)</t>
  </si>
  <si>
    <r>
      <t>Объём финансового обеспечения медицинских организаций, оказывающих амбулаторную медицинскую помощь 
(</t>
    </r>
    <r>
      <rPr>
        <b/>
        <u/>
        <sz val="14"/>
        <rFont val="Times New Roman"/>
        <family val="1"/>
        <charset val="204"/>
      </rPr>
      <t>за исключением профилей "Акушерство и гинекология" и "Стоматология"</t>
    </r>
    <r>
      <rPr>
        <b/>
        <sz val="14"/>
        <rFont val="Times New Roman"/>
        <family val="1"/>
        <charset val="204"/>
      </rPr>
      <t xml:space="preserve">), имеющих прикрепившихся лиц, на 2024 год      </t>
    </r>
  </si>
  <si>
    <t>Приложение № 7</t>
  </si>
  <si>
    <t>к Дополнительному соглашению № 1</t>
  </si>
  <si>
    <t>от "15"февраля 2024 года</t>
  </si>
  <si>
    <t>Среднемесячная численность прикрепленных к медицинской организации лиц за январь 2024 года (чел.)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</si>
</sst>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"/>
    <numFmt numFmtId="167" formatCode="0.000"/>
    <numFmt numFmtId="168" formatCode="#,##0.0"/>
    <numFmt numFmtId="169" formatCode="_-* #,##0_р_._-;\-* #,##0_р_._-;_-* &quot;-&quot;??_р_._-;_-@_-"/>
    <numFmt numFmtId="170" formatCode="#,##0.0000"/>
    <numFmt numFmtId="171" formatCode="_-* #,##0.00_р_._-;\-* #,##0.00_р_._-;_-* &quot;-&quot;???_р_._-;_-@_-"/>
    <numFmt numFmtId="172" formatCode="_-* #,##0.0_р_._-;\-* #,##0.0_р_._-;_-* &quot;-&quot;??_р_._-;_-@_-"/>
    <numFmt numFmtId="173" formatCode="#,##0.00000"/>
    <numFmt numFmtId="174" formatCode="#,##0.000000"/>
    <numFmt numFmtId="175" formatCode="_-* #,##0.000_р_._-;\-* #,##0.000_р_._-;_-* &quot;-&quot;??_р_._-;_-@_-"/>
    <numFmt numFmtId="176" formatCode="0.000000"/>
    <numFmt numFmtId="177" formatCode="0.0000"/>
    <numFmt numFmtId="178" formatCode="0.00000"/>
  </numFmts>
  <fonts count="5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.5"/>
      <color theme="1"/>
      <name val="Times New Roman"/>
      <family val="1"/>
      <charset val="204"/>
    </font>
    <font>
      <b/>
      <sz val="14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.5"/>
      <color rgb="FF7030A0"/>
      <name val="Times New Roman"/>
      <family val="1"/>
      <charset val="204"/>
    </font>
    <font>
      <sz val="14.5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rgb="FF7030A0"/>
      <name val="Times New Roman"/>
      <family val="1"/>
      <charset val="204"/>
    </font>
    <font>
      <b/>
      <sz val="14.5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b/>
      <sz val="14"/>
      <color rgb="FF990000"/>
      <name val="Times New Roman"/>
      <family val="1"/>
      <charset val="204"/>
    </font>
    <font>
      <sz val="16"/>
      <color indexed="81"/>
      <name val="Tahoma"/>
      <family val="2"/>
      <charset val="204"/>
    </font>
    <font>
      <b/>
      <sz val="12"/>
      <color rgb="FF7030A0"/>
      <name val="Times New Roman"/>
      <family val="1"/>
      <charset val="204"/>
    </font>
    <font>
      <b/>
      <sz val="13"/>
      <color rgb="FF7030A0"/>
      <name val="Times New Roman"/>
      <family val="1"/>
      <charset val="204"/>
    </font>
    <font>
      <b/>
      <sz val="14.5"/>
      <color rgb="FF990000"/>
      <name val="Times New Roman"/>
      <family val="1"/>
      <charset val="204"/>
    </font>
    <font>
      <b/>
      <sz val="14.5"/>
      <name val="Times New Roman"/>
      <family val="1"/>
      <charset val="204"/>
    </font>
    <font>
      <b/>
      <sz val="14"/>
      <color theme="1" tint="4.9989318521683403E-2"/>
      <name val="Times New Roman"/>
      <family val="1"/>
      <charset val="204"/>
    </font>
    <font>
      <b/>
      <sz val="16"/>
      <color rgb="FF990000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u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FF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23">
    <xf numFmtId="0" fontId="0" fillId="0" borderId="0"/>
    <xf numFmtId="0" fontId="9" fillId="0" borderId="0"/>
    <xf numFmtId="165" fontId="9" fillId="0" borderId="0" applyFont="0" applyFill="0" applyBorder="0" applyAlignment="0" applyProtection="0"/>
    <xf numFmtId="0" fontId="25" fillId="0" borderId="0"/>
    <xf numFmtId="0" fontId="25" fillId="0" borderId="0"/>
    <xf numFmtId="0" fontId="25" fillId="0" borderId="0"/>
    <xf numFmtId="9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0" fontId="30" fillId="0" borderId="0"/>
    <xf numFmtId="0" fontId="8" fillId="0" borderId="0"/>
    <xf numFmtId="165" fontId="8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0" fillId="0" borderId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370">
    <xf numFmtId="0" fontId="0" fillId="0" borderId="0" xfId="0"/>
    <xf numFmtId="0" fontId="16" fillId="2" borderId="0" xfId="1" applyFont="1" applyFill="1" applyAlignment="1">
      <alignment wrapText="1"/>
    </xf>
    <xf numFmtId="0" fontId="19" fillId="2" borderId="0" xfId="1" applyFont="1" applyFill="1" applyAlignment="1">
      <alignment horizontal="center" wrapText="1"/>
    </xf>
    <xf numFmtId="0" fontId="16" fillId="2" borderId="0" xfId="1" applyFont="1" applyFill="1" applyAlignment="1">
      <alignment horizontal="center" wrapText="1"/>
    </xf>
    <xf numFmtId="0" fontId="10" fillId="2" borderId="0" xfId="1" applyFont="1" applyFill="1" applyAlignment="1">
      <alignment horizontal="center" wrapText="1"/>
    </xf>
    <xf numFmtId="0" fontId="10" fillId="2" borderId="0" xfId="1" applyFont="1" applyFill="1" applyAlignment="1">
      <alignment wrapText="1"/>
    </xf>
    <xf numFmtId="1" fontId="20" fillId="2" borderId="1" xfId="1" applyNumberFormat="1" applyFont="1" applyFill="1" applyBorder="1" applyAlignment="1">
      <alignment horizontal="center" vertical="center" wrapText="1"/>
    </xf>
    <xf numFmtId="1" fontId="21" fillId="2" borderId="1" xfId="1" applyNumberFormat="1" applyFont="1" applyFill="1" applyBorder="1" applyAlignment="1">
      <alignment horizontal="center" vertical="center" wrapText="1"/>
    </xf>
    <xf numFmtId="1" fontId="21" fillId="2" borderId="3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wrapText="1"/>
    </xf>
    <xf numFmtId="0" fontId="24" fillId="2" borderId="0" xfId="1" applyFont="1" applyFill="1" applyAlignment="1">
      <alignment wrapText="1"/>
    </xf>
    <xf numFmtId="0" fontId="24" fillId="2" borderId="1" xfId="1" applyFont="1" applyFill="1" applyBorder="1" applyAlignment="1">
      <alignment horizontal="center" vertical="center" wrapText="1"/>
    </xf>
    <xf numFmtId="0" fontId="24" fillId="2" borderId="1" xfId="1" applyFont="1" applyFill="1" applyBorder="1" applyAlignment="1">
      <alignment wrapText="1"/>
    </xf>
    <xf numFmtId="169" fontId="23" fillId="2" borderId="1" xfId="2" applyNumberFormat="1" applyFont="1" applyFill="1" applyBorder="1" applyAlignment="1">
      <alignment wrapText="1"/>
    </xf>
    <xf numFmtId="0" fontId="16" fillId="2" borderId="0" xfId="1" applyFont="1" applyFill="1" applyBorder="1" applyAlignment="1">
      <alignment horizontal="left" wrapText="1"/>
    </xf>
    <xf numFmtId="165" fontId="16" fillId="2" borderId="0" xfId="2" applyFont="1" applyFill="1" applyAlignment="1">
      <alignment wrapText="1"/>
    </xf>
    <xf numFmtId="2" fontId="16" fillId="2" borderId="1" xfId="1" applyNumberFormat="1" applyFont="1" applyFill="1" applyBorder="1" applyAlignment="1">
      <alignment wrapText="1"/>
    </xf>
    <xf numFmtId="165" fontId="16" fillId="2" borderId="0" xfId="1" applyNumberFormat="1" applyFont="1" applyFill="1" applyAlignment="1">
      <alignment wrapText="1"/>
    </xf>
    <xf numFmtId="4" fontId="23" fillId="2" borderId="1" xfId="2" applyNumberFormat="1" applyFont="1" applyFill="1" applyBorder="1" applyAlignment="1">
      <alignment horizontal="center" wrapText="1"/>
    </xf>
    <xf numFmtId="165" fontId="23" fillId="2" borderId="1" xfId="2" applyNumberFormat="1" applyFont="1" applyFill="1" applyBorder="1" applyAlignment="1">
      <alignment wrapText="1"/>
    </xf>
    <xf numFmtId="0" fontId="16" fillId="2" borderId="1" xfId="1" applyFont="1" applyFill="1" applyBorder="1" applyAlignment="1">
      <alignment horizontal="center" wrapText="1"/>
    </xf>
    <xf numFmtId="0" fontId="16" fillId="2" borderId="0" xfId="1" applyFont="1" applyFill="1" applyBorder="1" applyAlignment="1">
      <alignment wrapText="1"/>
    </xf>
    <xf numFmtId="0" fontId="10" fillId="2" borderId="3" xfId="1" applyFont="1" applyFill="1" applyBorder="1" applyAlignment="1">
      <alignment horizontal="center" vertical="center" wrapText="1"/>
    </xf>
    <xf numFmtId="165" fontId="16" fillId="2" borderId="0" xfId="1" applyNumberFormat="1" applyFont="1" applyFill="1" applyBorder="1" applyAlignment="1">
      <alignment horizontal="left" wrapText="1"/>
    </xf>
    <xf numFmtId="165" fontId="23" fillId="2" borderId="3" xfId="2" applyNumberFormat="1" applyFont="1" applyFill="1" applyBorder="1" applyAlignment="1">
      <alignment horizontal="right" wrapText="1"/>
    </xf>
    <xf numFmtId="4" fontId="16" fillId="2" borderId="0" xfId="1" applyNumberFormat="1" applyFont="1" applyFill="1" applyBorder="1" applyAlignment="1">
      <alignment horizontal="right" wrapText="1"/>
    </xf>
    <xf numFmtId="0" fontId="16" fillId="2" borderId="0" xfId="1" applyFont="1" applyFill="1" applyBorder="1" applyAlignment="1">
      <alignment vertical="center" wrapText="1"/>
    </xf>
    <xf numFmtId="0" fontId="10" fillId="2" borderId="0" xfId="1" applyFont="1" applyFill="1" applyBorder="1" applyAlignment="1">
      <alignment vertical="center" wrapText="1"/>
    </xf>
    <xf numFmtId="3" fontId="11" fillId="2" borderId="0" xfId="1" applyNumberFormat="1" applyFont="1" applyFill="1" applyBorder="1" applyAlignment="1">
      <alignment vertic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16" fillId="2" borderId="0" xfId="1" applyFont="1" applyFill="1" applyBorder="1" applyAlignment="1">
      <alignment horizontal="center" vertical="center" wrapText="1"/>
    </xf>
    <xf numFmtId="0" fontId="10" fillId="2" borderId="0" xfId="1" applyFont="1" applyFill="1" applyBorder="1" applyAlignment="1">
      <alignment horizontal="center" vertical="center" wrapText="1"/>
    </xf>
    <xf numFmtId="4" fontId="22" fillId="2" borderId="0" xfId="2" applyNumberFormat="1" applyFont="1" applyFill="1" applyBorder="1" applyAlignment="1">
      <alignment vertical="center" wrapText="1"/>
    </xf>
    <xf numFmtId="169" fontId="22" fillId="2" borderId="0" xfId="2" applyNumberFormat="1" applyFont="1" applyFill="1" applyBorder="1" applyAlignment="1">
      <alignment wrapText="1"/>
    </xf>
    <xf numFmtId="4" fontId="23" fillId="2" borderId="0" xfId="2" applyNumberFormat="1" applyFont="1" applyFill="1" applyBorder="1" applyAlignment="1">
      <alignment horizontal="center" wrapText="1"/>
    </xf>
    <xf numFmtId="0" fontId="24" fillId="2" borderId="0" xfId="1" applyFont="1" applyFill="1" applyBorder="1" applyAlignment="1">
      <alignment wrapText="1"/>
    </xf>
    <xf numFmtId="169" fontId="23" fillId="2" borderId="0" xfId="2" applyNumberFormat="1" applyFont="1" applyFill="1" applyBorder="1" applyAlignment="1">
      <alignment wrapText="1"/>
    </xf>
    <xf numFmtId="165" fontId="23" fillId="2" borderId="0" xfId="2" applyNumberFormat="1" applyFont="1" applyFill="1" applyBorder="1" applyAlignment="1">
      <alignment wrapText="1"/>
    </xf>
    <xf numFmtId="4" fontId="22" fillId="2" borderId="1" xfId="2" applyNumberFormat="1" applyFont="1" applyFill="1" applyBorder="1" applyAlignment="1">
      <alignment horizontal="center" wrapText="1"/>
    </xf>
    <xf numFmtId="0" fontId="27" fillId="2" borderId="0" xfId="1" applyFont="1" applyFill="1" applyAlignment="1">
      <alignment wrapText="1"/>
    </xf>
    <xf numFmtId="171" fontId="27" fillId="2" borderId="0" xfId="1" applyNumberFormat="1" applyFont="1" applyFill="1" applyAlignment="1">
      <alignment wrapText="1"/>
    </xf>
    <xf numFmtId="165" fontId="27" fillId="2" borderId="0" xfId="1" applyNumberFormat="1" applyFont="1" applyFill="1" applyAlignment="1">
      <alignment wrapText="1"/>
    </xf>
    <xf numFmtId="4" fontId="16" fillId="2" borderId="0" xfId="1" applyNumberFormat="1" applyFont="1" applyFill="1" applyAlignment="1">
      <alignment wrapText="1"/>
    </xf>
    <xf numFmtId="3" fontId="10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24" fillId="2" borderId="0" xfId="1" applyFont="1" applyFill="1" applyBorder="1" applyAlignment="1">
      <alignment horizontal="center" vertical="center" wrapText="1"/>
    </xf>
    <xf numFmtId="171" fontId="28" fillId="2" borderId="0" xfId="1" applyNumberFormat="1" applyFont="1" applyFill="1" applyAlignment="1">
      <alignment wrapText="1"/>
    </xf>
    <xf numFmtId="3" fontId="22" fillId="2" borderId="1" xfId="2" applyNumberFormat="1" applyFont="1" applyFill="1" applyBorder="1" applyAlignment="1">
      <alignment horizontal="center" wrapText="1"/>
    </xf>
    <xf numFmtId="165" fontId="22" fillId="2" borderId="1" xfId="2" applyNumberFormat="1" applyFont="1" applyFill="1" applyBorder="1" applyAlignment="1">
      <alignment wrapText="1"/>
    </xf>
    <xf numFmtId="0" fontId="19" fillId="2" borderId="0" xfId="1" applyFont="1" applyFill="1" applyBorder="1" applyAlignment="1">
      <alignment horizontal="center" vertical="center" wrapText="1"/>
    </xf>
    <xf numFmtId="3" fontId="10" fillId="2" borderId="0" xfId="1" applyNumberFormat="1" applyFont="1" applyFill="1" applyBorder="1" applyAlignment="1">
      <alignment horizontal="center" vertical="center" wrapText="1"/>
    </xf>
    <xf numFmtId="3" fontId="27" fillId="2" borderId="0" xfId="1" applyNumberFormat="1" applyFont="1" applyFill="1" applyAlignment="1">
      <alignment wrapText="1"/>
    </xf>
    <xf numFmtId="168" fontId="22" fillId="2" borderId="0" xfId="2" applyNumberFormat="1" applyFont="1" applyFill="1" applyBorder="1" applyAlignment="1">
      <alignment horizontal="center" vertical="center" wrapText="1"/>
    </xf>
    <xf numFmtId="3" fontId="16" fillId="2" borderId="0" xfId="1" applyNumberFormat="1" applyFont="1" applyFill="1" applyBorder="1" applyAlignment="1">
      <alignment wrapText="1"/>
    </xf>
    <xf numFmtId="172" fontId="16" fillId="2" borderId="0" xfId="1" applyNumberFormat="1" applyFont="1" applyFill="1" applyBorder="1" applyAlignment="1">
      <alignment wrapText="1"/>
    </xf>
    <xf numFmtId="4" fontId="16" fillId="2" borderId="0" xfId="1" applyNumberFormat="1" applyFont="1" applyFill="1" applyBorder="1" applyAlignment="1">
      <alignment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167" fontId="16" fillId="2" borderId="0" xfId="1" applyNumberFormat="1" applyFont="1" applyFill="1" applyAlignment="1">
      <alignment wrapText="1"/>
    </xf>
    <xf numFmtId="2" fontId="16" fillId="2" borderId="0" xfId="1" applyNumberFormat="1" applyFont="1" applyFill="1" applyAlignment="1">
      <alignment wrapText="1"/>
    </xf>
    <xf numFmtId="4" fontId="11" fillId="2" borderId="0" xfId="1" applyNumberFormat="1" applyFont="1" applyFill="1" applyBorder="1" applyAlignment="1">
      <alignment vertical="center" wrapText="1"/>
    </xf>
    <xf numFmtId="3" fontId="11" fillId="2" borderId="0" xfId="1" applyNumberFormat="1" applyFont="1" applyFill="1" applyBorder="1" applyAlignment="1">
      <alignment horizontal="center" vertical="center" wrapText="1"/>
    </xf>
    <xf numFmtId="1" fontId="21" fillId="2" borderId="11" xfId="1" applyNumberFormat="1" applyFont="1" applyFill="1" applyBorder="1" applyAlignment="1">
      <alignment horizontal="center" vertical="center" wrapText="1"/>
    </xf>
    <xf numFmtId="166" fontId="23" fillId="2" borderId="0" xfId="2" applyNumberFormat="1" applyFont="1" applyFill="1" applyBorder="1" applyAlignment="1">
      <alignment vertical="center" wrapText="1"/>
    </xf>
    <xf numFmtId="165" fontId="23" fillId="2" borderId="1" xfId="2" applyNumberFormat="1" applyFont="1" applyFill="1" applyBorder="1" applyAlignment="1">
      <alignment horizontal="right" wrapText="1"/>
    </xf>
    <xf numFmtId="169" fontId="16" fillId="2" borderId="1" xfId="2" applyNumberFormat="1" applyFont="1" applyFill="1" applyBorder="1" applyAlignment="1">
      <alignment wrapText="1"/>
    </xf>
    <xf numFmtId="166" fontId="16" fillId="2" borderId="1" xfId="2" applyNumberFormat="1" applyFont="1" applyFill="1" applyBorder="1" applyAlignment="1">
      <alignment horizontal="center" wrapText="1"/>
    </xf>
    <xf numFmtId="4" fontId="24" fillId="2" borderId="1" xfId="2" applyNumberFormat="1" applyFont="1" applyFill="1" applyBorder="1" applyAlignment="1">
      <alignment horizontal="center" wrapText="1"/>
    </xf>
    <xf numFmtId="165" fontId="24" fillId="2" borderId="1" xfId="2" applyFont="1" applyFill="1" applyBorder="1" applyAlignment="1">
      <alignment wrapText="1"/>
    </xf>
    <xf numFmtId="4" fontId="16" fillId="2" borderId="1" xfId="2" applyNumberFormat="1" applyFont="1" applyFill="1" applyBorder="1" applyAlignment="1">
      <alignment horizontal="center" wrapText="1"/>
    </xf>
    <xf numFmtId="169" fontId="24" fillId="2" borderId="1" xfId="2" applyNumberFormat="1" applyFont="1" applyFill="1" applyBorder="1" applyAlignment="1">
      <alignment wrapText="1"/>
    </xf>
    <xf numFmtId="165" fontId="24" fillId="2" borderId="1" xfId="2" applyNumberFormat="1" applyFont="1" applyFill="1" applyBorder="1" applyAlignment="1">
      <alignment wrapText="1"/>
    </xf>
    <xf numFmtId="169" fontId="24" fillId="2" borderId="1" xfId="2" applyNumberFormat="1" applyFont="1" applyFill="1" applyBorder="1" applyAlignment="1">
      <alignment horizontal="right" wrapText="1"/>
    </xf>
    <xf numFmtId="173" fontId="24" fillId="2" borderId="1" xfId="2" applyNumberFormat="1" applyFont="1" applyFill="1" applyBorder="1" applyAlignment="1">
      <alignment wrapText="1"/>
    </xf>
    <xf numFmtId="173" fontId="16" fillId="2" borderId="0" xfId="1" applyNumberFormat="1" applyFont="1" applyFill="1" applyBorder="1" applyAlignment="1">
      <alignment wrapText="1"/>
    </xf>
    <xf numFmtId="165" fontId="28" fillId="2" borderId="0" xfId="1" applyNumberFormat="1" applyFont="1" applyFill="1" applyAlignment="1">
      <alignment wrapText="1"/>
    </xf>
    <xf numFmtId="174" fontId="16" fillId="2" borderId="1" xfId="2" applyNumberFormat="1" applyFont="1" applyFill="1" applyBorder="1" applyAlignment="1">
      <alignment horizontal="center" wrapText="1"/>
    </xf>
    <xf numFmtId="0" fontId="12" fillId="0" borderId="0" xfId="38" applyFont="1" applyAlignment="1"/>
    <xf numFmtId="0" fontId="13" fillId="0" borderId="0" xfId="38" applyFont="1"/>
    <xf numFmtId="0" fontId="12" fillId="0" borderId="0" xfId="38" applyFont="1" applyAlignment="1">
      <alignment vertical="center" wrapText="1"/>
    </xf>
    <xf numFmtId="0" fontId="32" fillId="2" borderId="3" xfId="39" applyFont="1" applyFill="1" applyBorder="1" applyAlignment="1">
      <alignment horizontal="center" vertical="center" wrapText="1"/>
    </xf>
    <xf numFmtId="0" fontId="15" fillId="2" borderId="3" xfId="39" applyFont="1" applyFill="1" applyBorder="1" applyAlignment="1">
      <alignment horizontal="center" vertical="center" wrapText="1"/>
    </xf>
    <xf numFmtId="0" fontId="15" fillId="0" borderId="0" xfId="38" applyFont="1"/>
    <xf numFmtId="0" fontId="31" fillId="2" borderId="3" xfId="39" applyFont="1" applyFill="1" applyBorder="1" applyAlignment="1">
      <alignment horizontal="center" vertical="center" wrapText="1"/>
    </xf>
    <xf numFmtId="0" fontId="31" fillId="2" borderId="3" xfId="39" applyFont="1" applyFill="1" applyBorder="1" applyAlignment="1">
      <alignment wrapText="1"/>
    </xf>
    <xf numFmtId="3" fontId="31" fillId="2" borderId="3" xfId="39" applyNumberFormat="1" applyFont="1" applyFill="1" applyBorder="1" applyAlignment="1">
      <alignment wrapText="1"/>
    </xf>
    <xf numFmtId="3" fontId="13" fillId="2" borderId="3" xfId="39" applyNumberFormat="1" applyFont="1" applyFill="1" applyBorder="1" applyAlignment="1">
      <alignment wrapText="1"/>
    </xf>
    <xf numFmtId="165" fontId="31" fillId="2" borderId="3" xfId="40" applyNumberFormat="1" applyFont="1" applyFill="1" applyBorder="1" applyAlignment="1">
      <alignment horizontal="right" wrapText="1"/>
    </xf>
    <xf numFmtId="175" fontId="31" fillId="2" borderId="3" xfId="40" applyNumberFormat="1" applyFont="1" applyFill="1" applyBorder="1" applyAlignment="1">
      <alignment horizontal="right" wrapText="1"/>
    </xf>
    <xf numFmtId="0" fontId="31" fillId="2" borderId="1" xfId="39" applyFont="1" applyFill="1" applyBorder="1" applyAlignment="1">
      <alignment wrapText="1"/>
    </xf>
    <xf numFmtId="0" fontId="33" fillId="2" borderId="1" xfId="39" applyFont="1" applyFill="1" applyBorder="1" applyAlignment="1">
      <alignment horizontal="center" vertical="center" wrapText="1"/>
    </xf>
    <xf numFmtId="0" fontId="33" fillId="2" borderId="1" xfId="39" applyFont="1" applyFill="1" applyBorder="1" applyAlignment="1">
      <alignment wrapText="1"/>
    </xf>
    <xf numFmtId="169" fontId="33" fillId="2" borderId="3" xfId="40" applyNumberFormat="1" applyFont="1" applyFill="1" applyBorder="1" applyAlignment="1">
      <alignment horizontal="right" wrapText="1"/>
    </xf>
    <xf numFmtId="3" fontId="33" fillId="2" borderId="1" xfId="40" applyNumberFormat="1" applyFont="1" applyFill="1" applyBorder="1" applyAlignment="1">
      <alignment horizontal="right" wrapText="1"/>
    </xf>
    <xf numFmtId="165" fontId="33" fillId="2" borderId="3" xfId="40" applyNumberFormat="1" applyFont="1" applyFill="1" applyBorder="1" applyAlignment="1">
      <alignment horizontal="right" wrapText="1"/>
    </xf>
    <xf numFmtId="165" fontId="33" fillId="2" borderId="3" xfId="40" applyNumberFormat="1" applyFont="1" applyFill="1" applyBorder="1" applyAlignment="1">
      <alignment wrapText="1"/>
    </xf>
    <xf numFmtId="3" fontId="13" fillId="0" borderId="0" xfId="38" applyNumberFormat="1" applyFont="1"/>
    <xf numFmtId="171" fontId="16" fillId="2" borderId="0" xfId="1" applyNumberFormat="1" applyFont="1" applyFill="1" applyAlignment="1">
      <alignment wrapText="1"/>
    </xf>
    <xf numFmtId="4" fontId="23" fillId="2" borderId="2" xfId="2" applyNumberFormat="1" applyFont="1" applyFill="1" applyBorder="1" applyAlignment="1">
      <alignment horizontal="right" wrapText="1"/>
    </xf>
    <xf numFmtId="166" fontId="29" fillId="2" borderId="4" xfId="2" applyNumberFormat="1" applyFont="1" applyFill="1" applyBorder="1" applyAlignment="1">
      <alignment horizontal="center" wrapText="1"/>
    </xf>
    <xf numFmtId="166" fontId="28" fillId="2" borderId="4" xfId="2" applyNumberFormat="1" applyFont="1" applyFill="1" applyBorder="1" applyAlignment="1">
      <alignment horizontal="center" wrapText="1"/>
    </xf>
    <xf numFmtId="4" fontId="24" fillId="2" borderId="6" xfId="2" applyNumberFormat="1" applyFont="1" applyFill="1" applyBorder="1" applyAlignment="1">
      <alignment horizontal="center" wrapText="1"/>
    </xf>
    <xf numFmtId="166" fontId="27" fillId="2" borderId="4" xfId="2" applyNumberFormat="1" applyFont="1" applyFill="1" applyBorder="1" applyAlignment="1">
      <alignment horizontal="center" wrapText="1"/>
    </xf>
    <xf numFmtId="3" fontId="15" fillId="0" borderId="0" xfId="38" applyNumberFormat="1" applyFont="1"/>
    <xf numFmtId="2" fontId="15" fillId="0" borderId="0" xfId="38" applyNumberFormat="1" applyFont="1"/>
    <xf numFmtId="1" fontId="13" fillId="0" borderId="0" xfId="38" applyNumberFormat="1" applyFont="1"/>
    <xf numFmtId="3" fontId="10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4" fontId="35" fillId="2" borderId="1" xfId="2" applyNumberFormat="1" applyFont="1" applyFill="1" applyBorder="1" applyAlignment="1">
      <alignment vertical="center" wrapText="1"/>
    </xf>
    <xf numFmtId="4" fontId="23" fillId="2" borderId="0" xfId="2" applyNumberFormat="1" applyFont="1" applyFill="1" applyBorder="1" applyAlignment="1">
      <alignment horizontal="right" wrapText="1"/>
    </xf>
    <xf numFmtId="165" fontId="10" fillId="2" borderId="0" xfId="1" applyNumberFormat="1" applyFont="1" applyFill="1" applyBorder="1" applyAlignment="1">
      <alignment horizontal="right" vertic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3" fontId="11" fillId="2" borderId="2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24" fillId="2" borderId="0" xfId="1" applyFont="1" applyFill="1" applyBorder="1" applyAlignment="1">
      <alignment horizontal="center" vertical="center" wrapText="1"/>
    </xf>
    <xf numFmtId="0" fontId="19" fillId="2" borderId="0" xfId="1" applyFont="1" applyFill="1" applyBorder="1" applyAlignment="1">
      <alignment horizontal="center" vertical="center" wrapText="1"/>
    </xf>
    <xf numFmtId="166" fontId="28" fillId="2" borderId="1" xfId="2" applyNumberFormat="1" applyFont="1" applyFill="1" applyBorder="1" applyAlignment="1">
      <alignment horizontal="center" wrapText="1"/>
    </xf>
    <xf numFmtId="4" fontId="34" fillId="2" borderId="3" xfId="2" applyNumberFormat="1" applyFont="1" applyFill="1" applyBorder="1" applyAlignment="1">
      <alignment vertical="center" wrapText="1"/>
    </xf>
    <xf numFmtId="3" fontId="10" fillId="2" borderId="0" xfId="1" applyNumberFormat="1" applyFont="1" applyFill="1" applyAlignment="1">
      <alignment wrapText="1"/>
    </xf>
    <xf numFmtId="4" fontId="10" fillId="2" borderId="0" xfId="1" applyNumberFormat="1" applyFont="1" applyFill="1" applyAlignment="1">
      <alignment wrapText="1"/>
    </xf>
    <xf numFmtId="1" fontId="10" fillId="2" borderId="0" xfId="1" applyNumberFormat="1" applyFont="1" applyFill="1" applyAlignment="1">
      <alignment wrapText="1"/>
    </xf>
    <xf numFmtId="1" fontId="16" fillId="2" borderId="0" xfId="1" applyNumberFormat="1" applyFont="1" applyFill="1" applyAlignment="1">
      <alignment wrapText="1"/>
    </xf>
    <xf numFmtId="176" fontId="16" fillId="2" borderId="0" xfId="1" applyNumberFormat="1" applyFont="1" applyFill="1" applyAlignment="1">
      <alignment wrapText="1"/>
    </xf>
    <xf numFmtId="2" fontId="27" fillId="2" borderId="0" xfId="1" applyNumberFormat="1" applyFont="1" applyFill="1" applyAlignment="1">
      <alignment wrapText="1"/>
    </xf>
    <xf numFmtId="166" fontId="27" fillId="2" borderId="1" xfId="2" applyNumberFormat="1" applyFont="1" applyFill="1" applyBorder="1" applyAlignment="1">
      <alignment horizontal="center" wrapText="1"/>
    </xf>
    <xf numFmtId="3" fontId="22" fillId="2" borderId="0" xfId="2" applyNumberFormat="1" applyFont="1" applyFill="1" applyBorder="1" applyAlignment="1">
      <alignment horizontal="center" vertical="center" wrapText="1"/>
    </xf>
    <xf numFmtId="3" fontId="23" fillId="2" borderId="1" xfId="2" applyNumberFormat="1" applyFont="1" applyFill="1" applyBorder="1" applyAlignment="1">
      <alignment horizontal="center" wrapText="1"/>
    </xf>
    <xf numFmtId="166" fontId="16" fillId="2" borderId="1" xfId="44" applyNumberFormat="1" applyFont="1" applyFill="1" applyBorder="1" applyAlignment="1">
      <alignment horizontal="center" wrapText="1"/>
    </xf>
    <xf numFmtId="170" fontId="16" fillId="2" borderId="1" xfId="2" applyNumberFormat="1" applyFont="1" applyFill="1" applyBorder="1" applyAlignment="1">
      <alignment horizontal="center" wrapText="1"/>
    </xf>
    <xf numFmtId="168" fontId="39" fillId="2" borderId="0" xfId="2" applyNumberFormat="1" applyFont="1" applyFill="1" applyBorder="1" applyAlignment="1">
      <alignment horizontal="center" vertical="center" wrapText="1"/>
    </xf>
    <xf numFmtId="1" fontId="40" fillId="2" borderId="0" xfId="1" applyNumberFormat="1" applyFont="1" applyFill="1" applyAlignment="1">
      <alignment vertical="center" wrapText="1"/>
    </xf>
    <xf numFmtId="170" fontId="10" fillId="2" borderId="1" xfId="2" applyNumberFormat="1" applyFont="1" applyFill="1" applyBorder="1" applyAlignment="1">
      <alignment horizontal="center" wrapText="1"/>
    </xf>
    <xf numFmtId="0" fontId="40" fillId="2" borderId="0" xfId="1" applyFont="1" applyFill="1" applyAlignment="1">
      <alignment wrapText="1"/>
    </xf>
    <xf numFmtId="0" fontId="40" fillId="2" borderId="0" xfId="1" applyFont="1" applyFill="1" applyAlignment="1">
      <alignment horizontal="center" wrapText="1"/>
    </xf>
    <xf numFmtId="4" fontId="40" fillId="2" borderId="0" xfId="1" applyNumberFormat="1" applyFont="1" applyFill="1" applyAlignment="1">
      <alignment wrapText="1"/>
    </xf>
    <xf numFmtId="167" fontId="24" fillId="2" borderId="0" xfId="1" applyNumberFormat="1" applyFont="1" applyFill="1" applyAlignment="1">
      <alignment wrapText="1"/>
    </xf>
    <xf numFmtId="170" fontId="41" fillId="2" borderId="1" xfId="2" applyNumberFormat="1" applyFont="1" applyFill="1" applyBorder="1" applyAlignment="1">
      <alignment horizontal="center" wrapText="1"/>
    </xf>
    <xf numFmtId="170" fontId="10" fillId="2" borderId="4" xfId="2" applyNumberFormat="1" applyFont="1" applyFill="1" applyBorder="1" applyAlignment="1">
      <alignment horizontal="center" wrapText="1"/>
    </xf>
    <xf numFmtId="4" fontId="42" fillId="2" borderId="0" xfId="1" applyNumberFormat="1" applyFont="1" applyFill="1" applyBorder="1" applyAlignment="1">
      <alignment wrapText="1"/>
    </xf>
    <xf numFmtId="171" fontId="27" fillId="2" borderId="9" xfId="1" applyNumberFormat="1" applyFont="1" applyFill="1" applyBorder="1" applyAlignment="1">
      <alignment wrapText="1"/>
    </xf>
    <xf numFmtId="165" fontId="28" fillId="2" borderId="9" xfId="1" applyNumberFormat="1" applyFont="1" applyFill="1" applyBorder="1" applyAlignment="1">
      <alignment wrapText="1"/>
    </xf>
    <xf numFmtId="165" fontId="27" fillId="2" borderId="9" xfId="1" applyNumberFormat="1" applyFont="1" applyFill="1" applyBorder="1" applyAlignment="1">
      <alignment wrapText="1"/>
    </xf>
    <xf numFmtId="171" fontId="27" fillId="2" borderId="0" xfId="1" applyNumberFormat="1" applyFont="1" applyFill="1" applyBorder="1" applyAlignment="1">
      <alignment wrapText="1"/>
    </xf>
    <xf numFmtId="0" fontId="27" fillId="2" borderId="0" xfId="1" applyFont="1" applyFill="1" applyBorder="1" applyAlignment="1">
      <alignment wrapText="1"/>
    </xf>
    <xf numFmtId="165" fontId="27" fillId="2" borderId="0" xfId="1" applyNumberFormat="1" applyFont="1" applyFill="1" applyBorder="1" applyAlignment="1">
      <alignment wrapText="1"/>
    </xf>
    <xf numFmtId="165" fontId="28" fillId="2" borderId="0" xfId="1" applyNumberFormat="1" applyFont="1" applyFill="1" applyBorder="1" applyAlignment="1">
      <alignment wrapText="1"/>
    </xf>
    <xf numFmtId="171" fontId="28" fillId="2" borderId="0" xfId="1" applyNumberFormat="1" applyFont="1" applyFill="1" applyBorder="1" applyAlignment="1">
      <alignment wrapText="1"/>
    </xf>
    <xf numFmtId="166" fontId="23" fillId="2" borderId="8" xfId="2" applyNumberFormat="1" applyFont="1" applyFill="1" applyBorder="1" applyAlignment="1">
      <alignment vertical="center" wrapText="1"/>
    </xf>
    <xf numFmtId="171" fontId="27" fillId="2" borderId="12" xfId="1" applyNumberFormat="1" applyFont="1" applyFill="1" applyBorder="1" applyAlignment="1">
      <alignment wrapText="1"/>
    </xf>
    <xf numFmtId="0" fontId="27" fillId="2" borderId="12" xfId="1" applyFont="1" applyFill="1" applyBorder="1" applyAlignment="1">
      <alignment wrapText="1"/>
    </xf>
    <xf numFmtId="165" fontId="27" fillId="2" borderId="12" xfId="1" applyNumberFormat="1" applyFont="1" applyFill="1" applyBorder="1" applyAlignment="1">
      <alignment wrapText="1"/>
    </xf>
    <xf numFmtId="0" fontId="16" fillId="4" borderId="1" xfId="1" applyFont="1" applyFill="1" applyBorder="1" applyAlignment="1">
      <alignment horizontal="center" wrapText="1"/>
    </xf>
    <xf numFmtId="0" fontId="44" fillId="2" borderId="0" xfId="1" applyFont="1" applyFill="1" applyAlignment="1">
      <alignment wrapText="1"/>
    </xf>
    <xf numFmtId="0" fontId="16" fillId="4" borderId="1" xfId="1" applyFont="1" applyFill="1" applyBorder="1" applyAlignment="1">
      <alignment wrapText="1"/>
    </xf>
    <xf numFmtId="4" fontId="23" fillId="2" borderId="8" xfId="2" applyNumberFormat="1" applyFont="1" applyFill="1" applyBorder="1" applyAlignment="1">
      <alignment horizontal="right" wrapText="1"/>
    </xf>
    <xf numFmtId="4" fontId="23" fillId="2" borderId="11" xfId="2" applyNumberFormat="1" applyFont="1" applyFill="1" applyBorder="1" applyAlignment="1">
      <alignment horizontal="right" wrapText="1"/>
    </xf>
    <xf numFmtId="165" fontId="23" fillId="2" borderId="0" xfId="2" applyNumberFormat="1" applyFont="1" applyFill="1" applyBorder="1" applyAlignment="1">
      <alignment horizontal="right" wrapText="1"/>
    </xf>
    <xf numFmtId="4" fontId="23" fillId="2" borderId="10" xfId="2" applyNumberFormat="1" applyFont="1" applyFill="1" applyBorder="1" applyAlignment="1">
      <alignment horizontal="right" wrapText="1"/>
    </xf>
    <xf numFmtId="166" fontId="46" fillId="2" borderId="8" xfId="2" applyNumberFormat="1" applyFont="1" applyFill="1" applyBorder="1" applyAlignment="1">
      <alignment vertical="center" wrapText="1"/>
    </xf>
    <xf numFmtId="173" fontId="10" fillId="4" borderId="4" xfId="2" applyNumberFormat="1" applyFont="1" applyFill="1" applyBorder="1" applyAlignment="1">
      <alignment horizontal="center" wrapText="1"/>
    </xf>
    <xf numFmtId="173" fontId="10" fillId="2" borderId="4" xfId="2" applyNumberFormat="1" applyFont="1" applyFill="1" applyBorder="1" applyAlignment="1">
      <alignment horizontal="center" wrapText="1"/>
    </xf>
    <xf numFmtId="166" fontId="47" fillId="2" borderId="8" xfId="2" applyNumberFormat="1" applyFont="1" applyFill="1" applyBorder="1" applyAlignment="1">
      <alignment vertical="center" wrapText="1"/>
    </xf>
    <xf numFmtId="166" fontId="28" fillId="2" borderId="2" xfId="2" applyNumberFormat="1" applyFont="1" applyFill="1" applyBorder="1" applyAlignment="1">
      <alignment horizontal="center" wrapText="1"/>
    </xf>
    <xf numFmtId="0" fontId="16" fillId="5" borderId="1" xfId="1" applyFont="1" applyFill="1" applyBorder="1" applyAlignment="1">
      <alignment horizontal="center" wrapText="1"/>
    </xf>
    <xf numFmtId="0" fontId="16" fillId="5" borderId="1" xfId="1" applyFont="1" applyFill="1" applyBorder="1" applyAlignment="1">
      <alignment wrapText="1"/>
    </xf>
    <xf numFmtId="173" fontId="10" fillId="5" borderId="4" xfId="2" applyNumberFormat="1" applyFont="1" applyFill="1" applyBorder="1" applyAlignment="1">
      <alignment horizont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45" fillId="2" borderId="0" xfId="1" applyFont="1" applyFill="1" applyAlignment="1">
      <alignment horizont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45" fillId="2" borderId="0" xfId="1" applyFont="1" applyFill="1" applyAlignment="1">
      <alignment horizont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wrapText="1"/>
    </xf>
    <xf numFmtId="0" fontId="11" fillId="2" borderId="0" xfId="1" applyFont="1" applyFill="1" applyAlignment="1">
      <alignment horizontal="center" wrapText="1"/>
    </xf>
    <xf numFmtId="0" fontId="11" fillId="2" borderId="0" xfId="1" applyFont="1" applyFill="1" applyAlignment="1">
      <alignment wrapText="1"/>
    </xf>
    <xf numFmtId="4" fontId="38" fillId="2" borderId="0" xfId="1" applyNumberFormat="1" applyFont="1" applyFill="1" applyAlignment="1">
      <alignment wrapText="1"/>
    </xf>
    <xf numFmtId="4" fontId="24" fillId="2" borderId="0" xfId="1" applyNumberFormat="1" applyFont="1" applyFill="1" applyAlignment="1">
      <alignment wrapText="1"/>
    </xf>
    <xf numFmtId="4" fontId="48" fillId="2" borderId="0" xfId="1" applyNumberFormat="1" applyFont="1" applyFill="1" applyAlignment="1">
      <alignment wrapText="1"/>
    </xf>
    <xf numFmtId="0" fontId="24" fillId="2" borderId="0" xfId="1" applyFont="1" applyFill="1" applyAlignment="1">
      <alignment horizontal="right" wrapText="1"/>
    </xf>
    <xf numFmtId="4" fontId="49" fillId="2" borderId="0" xfId="1" applyNumberFormat="1" applyFont="1" applyFill="1" applyAlignment="1">
      <alignment wrapText="1"/>
    </xf>
    <xf numFmtId="0" fontId="31" fillId="2" borderId="0" xfId="1" applyFont="1" applyFill="1" applyAlignment="1">
      <alignment wrapText="1"/>
    </xf>
    <xf numFmtId="0" fontId="31" fillId="2" borderId="0" xfId="1" applyFont="1" applyFill="1" applyAlignment="1">
      <alignment horizontal="center" wrapText="1"/>
    </xf>
    <xf numFmtId="0" fontId="13" fillId="2" borderId="0" xfId="1" applyFont="1" applyFill="1" applyAlignment="1">
      <alignment horizontal="center" wrapText="1"/>
    </xf>
    <xf numFmtId="0" fontId="13" fillId="2" borderId="0" xfId="1" applyFont="1" applyFill="1" applyAlignment="1">
      <alignment wrapText="1"/>
    </xf>
    <xf numFmtId="0" fontId="44" fillId="2" borderId="0" xfId="1" applyFont="1" applyFill="1" applyAlignment="1">
      <alignment horizontal="center" wrapText="1"/>
    </xf>
    <xf numFmtId="4" fontId="33" fillId="2" borderId="1" xfId="2" applyNumberFormat="1" applyFont="1" applyFill="1" applyBorder="1" applyAlignment="1">
      <alignment horizontal="right" vertical="center" wrapText="1"/>
    </xf>
    <xf numFmtId="4" fontId="51" fillId="2" borderId="0" xfId="1" applyNumberFormat="1" applyFont="1" applyFill="1" applyAlignment="1">
      <alignment wrapText="1"/>
    </xf>
    <xf numFmtId="4" fontId="31" fillId="2" borderId="0" xfId="1" applyNumberFormat="1" applyFont="1" applyFill="1" applyAlignment="1">
      <alignment wrapText="1"/>
    </xf>
    <xf numFmtId="0" fontId="33" fillId="2" borderId="0" xfId="1" applyFont="1" applyFill="1" applyAlignment="1">
      <alignment wrapText="1"/>
    </xf>
    <xf numFmtId="0" fontId="13" fillId="2" borderId="19" xfId="1" applyFont="1" applyFill="1" applyBorder="1" applyAlignment="1">
      <alignment horizontal="center" wrapText="1"/>
    </xf>
    <xf numFmtId="0" fontId="13" fillId="2" borderId="20" xfId="1" applyFont="1" applyFill="1" applyBorder="1" applyAlignment="1">
      <alignment horizontal="center" wrapText="1"/>
    </xf>
    <xf numFmtId="167" fontId="13" fillId="2" borderId="1" xfId="2" applyNumberFormat="1" applyFont="1" applyFill="1" applyBorder="1" applyAlignment="1">
      <alignment horizontal="right" vertical="center" wrapText="1"/>
    </xf>
    <xf numFmtId="167" fontId="13" fillId="2" borderId="21" xfId="2" applyNumberFormat="1" applyFont="1" applyFill="1" applyBorder="1" applyAlignment="1">
      <alignment horizontal="right" vertical="center" wrapText="1"/>
    </xf>
    <xf numFmtId="167" fontId="31" fillId="2" borderId="21" xfId="44" applyNumberFormat="1" applyFont="1" applyFill="1" applyBorder="1" applyAlignment="1">
      <alignment horizontal="right" vertical="center" wrapText="1"/>
    </xf>
    <xf numFmtId="0" fontId="44" fillId="2" borderId="0" xfId="1" applyFont="1" applyFill="1" applyBorder="1" applyAlignment="1">
      <alignment wrapText="1"/>
    </xf>
    <xf numFmtId="0" fontId="13" fillId="2" borderId="4" xfId="1" applyFont="1" applyFill="1" applyBorder="1" applyAlignment="1">
      <alignment wrapText="1"/>
    </xf>
    <xf numFmtId="0" fontId="13" fillId="2" borderId="25" xfId="1" applyFont="1" applyFill="1" applyBorder="1" applyAlignment="1">
      <alignment wrapText="1"/>
    </xf>
    <xf numFmtId="4" fontId="33" fillId="2" borderId="18" xfId="2" applyNumberFormat="1" applyFont="1" applyFill="1" applyBorder="1" applyAlignment="1">
      <alignment horizontal="right" vertical="center" wrapText="1"/>
    </xf>
    <xf numFmtId="177" fontId="31" fillId="2" borderId="21" xfId="2" applyNumberFormat="1" applyFont="1" applyFill="1" applyBorder="1" applyAlignment="1">
      <alignment horizontal="right" vertical="center" wrapText="1"/>
    </xf>
    <xf numFmtId="0" fontId="13" fillId="2" borderId="29" xfId="1" applyFont="1" applyFill="1" applyBorder="1" applyAlignment="1">
      <alignment horizontal="center" wrapText="1"/>
    </xf>
    <xf numFmtId="0" fontId="13" fillId="2" borderId="8" xfId="1" applyFont="1" applyFill="1" applyBorder="1" applyAlignment="1">
      <alignment wrapText="1"/>
    </xf>
    <xf numFmtId="177" fontId="31" fillId="2" borderId="2" xfId="2" applyNumberFormat="1" applyFont="1" applyFill="1" applyBorder="1" applyAlignment="1">
      <alignment horizontal="right" vertical="center" wrapText="1"/>
    </xf>
    <xf numFmtId="3" fontId="13" fillId="2" borderId="2" xfId="1" applyNumberFormat="1" applyFont="1" applyFill="1" applyBorder="1" applyAlignment="1">
      <alignment horizontal="center" vertical="top" wrapText="1"/>
    </xf>
    <xf numFmtId="178" fontId="31" fillId="2" borderId="1" xfId="44" applyNumberFormat="1" applyFont="1" applyFill="1" applyBorder="1" applyAlignment="1">
      <alignment horizontal="right" vertical="center" wrapText="1"/>
    </xf>
    <xf numFmtId="3" fontId="31" fillId="2" borderId="1" xfId="2" applyNumberFormat="1" applyFont="1" applyFill="1" applyBorder="1" applyAlignment="1">
      <alignment horizontal="right" vertical="center" wrapText="1"/>
    </xf>
    <xf numFmtId="3" fontId="31" fillId="2" borderId="2" xfId="2" applyNumberFormat="1" applyFont="1" applyFill="1" applyBorder="1" applyAlignment="1">
      <alignment horizontal="right" vertical="center" wrapText="1"/>
    </xf>
    <xf numFmtId="3" fontId="31" fillId="2" borderId="21" xfId="2" applyNumberFormat="1" applyFont="1" applyFill="1" applyBorder="1" applyAlignment="1">
      <alignment horizontal="right" vertical="center" wrapText="1"/>
    </xf>
    <xf numFmtId="178" fontId="31" fillId="2" borderId="19" xfId="1" applyNumberFormat="1" applyFont="1" applyFill="1" applyBorder="1" applyAlignment="1">
      <alignment vertical="center" wrapText="1"/>
    </xf>
    <xf numFmtId="178" fontId="31" fillId="2" borderId="20" xfId="1" applyNumberFormat="1" applyFont="1" applyFill="1" applyBorder="1" applyAlignment="1">
      <alignment vertical="center" wrapText="1"/>
    </xf>
    <xf numFmtId="178" fontId="31" fillId="2" borderId="1" xfId="2" applyNumberFormat="1" applyFont="1" applyFill="1" applyBorder="1" applyAlignment="1">
      <alignment horizontal="right" vertical="center" wrapText="1"/>
    </xf>
    <xf numFmtId="178" fontId="31" fillId="2" borderId="21" xfId="2" applyNumberFormat="1" applyFont="1" applyFill="1" applyBorder="1" applyAlignment="1">
      <alignment horizontal="right" vertical="center" wrapText="1"/>
    </xf>
    <xf numFmtId="173" fontId="13" fillId="2" borderId="2" xfId="2" applyNumberFormat="1" applyFont="1" applyFill="1" applyBorder="1" applyAlignment="1">
      <alignment horizontal="right" vertical="center" wrapText="1"/>
    </xf>
    <xf numFmtId="178" fontId="31" fillId="2" borderId="29" xfId="1" applyNumberFormat="1" applyFont="1" applyFill="1" applyBorder="1" applyAlignment="1">
      <alignment vertical="center" wrapText="1"/>
    </xf>
    <xf numFmtId="0" fontId="56" fillId="2" borderId="0" xfId="1" applyFont="1" applyFill="1" applyAlignment="1">
      <alignment horizontal="right" wrapText="1"/>
    </xf>
    <xf numFmtId="177" fontId="13" fillId="2" borderId="21" xfId="2" applyNumberFormat="1" applyFont="1" applyFill="1" applyBorder="1" applyAlignment="1">
      <alignment horizontal="right" vertical="center" wrapText="1"/>
    </xf>
    <xf numFmtId="176" fontId="13" fillId="2" borderId="1" xfId="2" applyNumberFormat="1" applyFont="1" applyFill="1" applyBorder="1" applyAlignment="1">
      <alignment horizontal="right" vertical="center" wrapText="1"/>
    </xf>
    <xf numFmtId="176" fontId="13" fillId="2" borderId="21" xfId="2" applyNumberFormat="1" applyFont="1" applyFill="1" applyBorder="1" applyAlignment="1">
      <alignment horizontal="right" vertical="center" wrapText="1"/>
    </xf>
    <xf numFmtId="176" fontId="31" fillId="2" borderId="21" xfId="44" applyNumberFormat="1" applyFont="1" applyFill="1" applyBorder="1" applyAlignment="1">
      <alignment horizontal="right" vertical="center" wrapText="1"/>
    </xf>
    <xf numFmtId="177" fontId="13" fillId="2" borderId="2" xfId="2" applyNumberFormat="1" applyFont="1" applyFill="1" applyBorder="1" applyAlignment="1">
      <alignment horizontal="right" vertical="center" wrapText="1"/>
    </xf>
    <xf numFmtId="177" fontId="31" fillId="2" borderId="2" xfId="44" applyNumberFormat="1" applyFont="1" applyFill="1" applyBorder="1" applyAlignment="1">
      <alignment horizontal="right" vertical="center" wrapText="1"/>
    </xf>
    <xf numFmtId="177" fontId="31" fillId="2" borderId="21" xfId="44" applyNumberFormat="1" applyFont="1" applyFill="1" applyBorder="1" applyAlignment="1">
      <alignment horizontal="right" vertical="center" wrapText="1"/>
    </xf>
    <xf numFmtId="0" fontId="12" fillId="0" borderId="0" xfId="38" applyFont="1" applyAlignment="1">
      <alignment horizontal="center"/>
    </xf>
    <xf numFmtId="0" fontId="12" fillId="0" borderId="0" xfId="38" applyFont="1" applyAlignment="1">
      <alignment horizontal="center" vertical="center" wrapText="1"/>
    </xf>
    <xf numFmtId="0" fontId="31" fillId="2" borderId="2" xfId="39" applyFont="1" applyFill="1" applyBorder="1" applyAlignment="1">
      <alignment horizontal="center" vertical="center" wrapText="1"/>
    </xf>
    <xf numFmtId="0" fontId="31" fillId="2" borderId="7" xfId="39" applyFont="1" applyFill="1" applyBorder="1" applyAlignment="1">
      <alignment horizontal="center" vertical="center" wrapText="1"/>
    </xf>
    <xf numFmtId="0" fontId="31" fillId="2" borderId="3" xfId="39" applyFont="1" applyFill="1" applyBorder="1" applyAlignment="1">
      <alignment horizontal="center" vertical="center" wrapText="1"/>
    </xf>
    <xf numFmtId="0" fontId="13" fillId="2" borderId="2" xfId="39" applyFont="1" applyFill="1" applyBorder="1" applyAlignment="1">
      <alignment horizontal="center" vertical="center" wrapText="1"/>
    </xf>
    <xf numFmtId="0" fontId="13" fillId="2" borderId="7" xfId="39" applyFont="1" applyFill="1" applyBorder="1" applyAlignment="1">
      <alignment horizontal="center" vertical="center" wrapText="1"/>
    </xf>
    <xf numFmtId="0" fontId="13" fillId="2" borderId="3" xfId="39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19" fillId="2" borderId="9" xfId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3" fontId="10" fillId="2" borderId="4" xfId="1" applyNumberFormat="1" applyFont="1" applyFill="1" applyBorder="1" applyAlignment="1">
      <alignment horizontal="center" vertical="center" wrapText="1"/>
    </xf>
    <xf numFmtId="3" fontId="10" fillId="2" borderId="5" xfId="1" applyNumberFormat="1" applyFont="1" applyFill="1" applyBorder="1" applyAlignment="1">
      <alignment horizontal="center" vertical="center" wrapText="1"/>
    </xf>
    <xf numFmtId="3" fontId="10" fillId="2" borderId="2" xfId="1" applyNumberFormat="1" applyFont="1" applyFill="1" applyBorder="1" applyAlignment="1">
      <alignment horizontal="center" vertical="center" wrapText="1"/>
    </xf>
    <xf numFmtId="3" fontId="10" fillId="2" borderId="7" xfId="1" applyNumberFormat="1" applyFont="1" applyFill="1" applyBorder="1" applyAlignment="1">
      <alignment horizontal="center" vertical="center" wrapText="1"/>
    </xf>
    <xf numFmtId="3" fontId="10" fillId="2" borderId="3" xfId="1" applyNumberFormat="1" applyFont="1" applyFill="1" applyBorder="1" applyAlignment="1">
      <alignment horizontal="center" vertical="center" wrapText="1"/>
    </xf>
    <xf numFmtId="3" fontId="10" fillId="2" borderId="6" xfId="1" applyNumberFormat="1" applyFont="1" applyFill="1" applyBorder="1" applyAlignment="1">
      <alignment horizontal="center" vertical="center" wrapText="1"/>
    </xf>
    <xf numFmtId="3" fontId="11" fillId="2" borderId="2" xfId="1" applyNumberFormat="1" applyFont="1" applyFill="1" applyBorder="1" applyAlignment="1">
      <alignment horizontal="center" vertical="center" wrapText="1"/>
    </xf>
    <xf numFmtId="3" fontId="11" fillId="2" borderId="3" xfId="1" applyNumberFormat="1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vertical="center" wrapText="1"/>
    </xf>
    <xf numFmtId="166" fontId="29" fillId="2" borderId="2" xfId="2" applyNumberFormat="1" applyFont="1" applyFill="1" applyBorder="1" applyAlignment="1">
      <alignment horizontal="center" vertical="center" wrapText="1"/>
    </xf>
    <xf numFmtId="166" fontId="29" fillId="2" borderId="7" xfId="2" applyNumberFormat="1" applyFont="1" applyFill="1" applyBorder="1" applyAlignment="1">
      <alignment horizontal="center" vertical="center" wrapText="1"/>
    </xf>
    <xf numFmtId="166" fontId="29" fillId="2" borderId="3" xfId="2" applyNumberFormat="1" applyFont="1" applyFill="1" applyBorder="1" applyAlignment="1">
      <alignment horizontal="center" vertic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27" fillId="2" borderId="11" xfId="1" applyFont="1" applyFill="1" applyBorder="1" applyAlignment="1">
      <alignment horizontal="center" wrapText="1"/>
    </xf>
    <xf numFmtId="0" fontId="27" fillId="2" borderId="0" xfId="1" applyFont="1" applyFill="1" applyAlignment="1">
      <alignment horizontal="center" wrapText="1"/>
    </xf>
    <xf numFmtId="0" fontId="45" fillId="2" borderId="0" xfId="1" applyFont="1" applyFill="1" applyAlignment="1">
      <alignment horizontal="center" wrapText="1"/>
    </xf>
    <xf numFmtId="166" fontId="27" fillId="2" borderId="2" xfId="2" applyNumberFormat="1" applyFont="1" applyFill="1" applyBorder="1" applyAlignment="1">
      <alignment horizontal="center" vertical="center" wrapText="1"/>
    </xf>
    <xf numFmtId="166" fontId="27" fillId="2" borderId="7" xfId="2" applyNumberFormat="1" applyFont="1" applyFill="1" applyBorder="1" applyAlignment="1">
      <alignment horizontal="center" vertical="center" wrapText="1"/>
    </xf>
    <xf numFmtId="174" fontId="29" fillId="2" borderId="2" xfId="2" applyNumberFormat="1" applyFont="1" applyFill="1" applyBorder="1" applyAlignment="1">
      <alignment horizontal="center" vertical="center" wrapText="1"/>
    </xf>
    <xf numFmtId="174" fontId="29" fillId="2" borderId="7" xfId="2" applyNumberFormat="1" applyFont="1" applyFill="1" applyBorder="1" applyAlignment="1">
      <alignment horizontal="center" vertical="center" wrapText="1"/>
    </xf>
    <xf numFmtId="174" fontId="29" fillId="2" borderId="3" xfId="2" applyNumberFormat="1" applyFont="1" applyFill="1" applyBorder="1" applyAlignment="1">
      <alignment horizontal="center" vertical="center" wrapText="1"/>
    </xf>
    <xf numFmtId="3" fontId="11" fillId="2" borderId="7" xfId="1" applyNumberFormat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166" fontId="10" fillId="2" borderId="2" xfId="2" applyNumberFormat="1" applyFont="1" applyFill="1" applyBorder="1" applyAlignment="1">
      <alignment horizontal="center" vertical="center" wrapText="1"/>
    </xf>
    <xf numFmtId="166" fontId="10" fillId="2" borderId="7" xfId="2" applyNumberFormat="1" applyFont="1" applyFill="1" applyBorder="1" applyAlignment="1">
      <alignment horizontal="center" vertical="center" wrapText="1"/>
    </xf>
    <xf numFmtId="166" fontId="10" fillId="2" borderId="3" xfId="2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4" fontId="10" fillId="2" borderId="2" xfId="2" applyNumberFormat="1" applyFont="1" applyFill="1" applyBorder="1" applyAlignment="1">
      <alignment horizontal="center" vertical="center" wrapText="1"/>
    </xf>
    <xf numFmtId="4" fontId="10" fillId="2" borderId="7" xfId="2" applyNumberFormat="1" applyFont="1" applyFill="1" applyBorder="1" applyAlignment="1">
      <alignment horizontal="center" vertical="center" wrapText="1"/>
    </xf>
    <xf numFmtId="4" fontId="10" fillId="2" borderId="3" xfId="2" applyNumberFormat="1" applyFont="1" applyFill="1" applyBorder="1" applyAlignment="1">
      <alignment horizontal="center" vertical="center" wrapText="1"/>
    </xf>
    <xf numFmtId="174" fontId="27" fillId="2" borderId="2" xfId="2" applyNumberFormat="1" applyFont="1" applyFill="1" applyBorder="1" applyAlignment="1">
      <alignment horizontal="center" vertical="center" wrapText="1"/>
    </xf>
    <xf numFmtId="174" fontId="27" fillId="2" borderId="7" xfId="2" applyNumberFormat="1" applyFont="1" applyFill="1" applyBorder="1" applyAlignment="1">
      <alignment horizontal="center" vertical="center" wrapText="1"/>
    </xf>
    <xf numFmtId="174" fontId="27" fillId="2" borderId="3" xfId="2" applyNumberFormat="1" applyFont="1" applyFill="1" applyBorder="1" applyAlignment="1">
      <alignment horizontal="center" vertical="center" wrapText="1"/>
    </xf>
    <xf numFmtId="170" fontId="28" fillId="2" borderId="2" xfId="2" applyNumberFormat="1" applyFont="1" applyFill="1" applyBorder="1" applyAlignment="1">
      <alignment horizontal="center" vertical="center" wrapText="1"/>
    </xf>
    <xf numFmtId="170" fontId="28" fillId="2" borderId="7" xfId="2" applyNumberFormat="1" applyFont="1" applyFill="1" applyBorder="1" applyAlignment="1">
      <alignment horizontal="center" vertical="center" wrapText="1"/>
    </xf>
    <xf numFmtId="170" fontId="28" fillId="2" borderId="3" xfId="2" applyNumberFormat="1" applyFont="1" applyFill="1" applyBorder="1" applyAlignment="1">
      <alignment horizontal="center" vertical="center" wrapText="1"/>
    </xf>
    <xf numFmtId="170" fontId="27" fillId="2" borderId="2" xfId="2" applyNumberFormat="1" applyFont="1" applyFill="1" applyBorder="1" applyAlignment="1">
      <alignment horizontal="center" vertical="center" wrapText="1"/>
    </xf>
    <xf numFmtId="170" fontId="27" fillId="2" borderId="7" xfId="2" applyNumberFormat="1" applyFont="1" applyFill="1" applyBorder="1" applyAlignment="1">
      <alignment horizontal="center" vertical="center" wrapText="1"/>
    </xf>
    <xf numFmtId="170" fontId="27" fillId="2" borderId="3" xfId="2" applyNumberFormat="1" applyFont="1" applyFill="1" applyBorder="1" applyAlignment="1">
      <alignment horizontal="center" vertical="center" wrapText="1"/>
    </xf>
    <xf numFmtId="3" fontId="12" fillId="2" borderId="14" xfId="1" applyNumberFormat="1" applyFont="1" applyFill="1" applyBorder="1" applyAlignment="1">
      <alignment horizontal="center" vertical="top" wrapText="1"/>
    </xf>
    <xf numFmtId="3" fontId="12" fillId="2" borderId="7" xfId="1" applyNumberFormat="1" applyFont="1" applyFill="1" applyBorder="1" applyAlignment="1">
      <alignment horizontal="center" vertical="top" wrapText="1"/>
    </xf>
    <xf numFmtId="3" fontId="12" fillId="2" borderId="3" xfId="1" applyNumberFormat="1" applyFont="1" applyFill="1" applyBorder="1" applyAlignment="1">
      <alignment horizontal="center" vertical="top" wrapText="1"/>
    </xf>
    <xf numFmtId="3" fontId="12" fillId="2" borderId="27" xfId="1" applyNumberFormat="1" applyFont="1" applyFill="1" applyBorder="1" applyAlignment="1">
      <alignment horizontal="center" vertical="top" wrapText="1"/>
    </xf>
    <xf numFmtId="3" fontId="12" fillId="2" borderId="28" xfId="1" applyNumberFormat="1" applyFont="1" applyFill="1" applyBorder="1" applyAlignment="1">
      <alignment horizontal="center" vertical="top" wrapText="1"/>
    </xf>
    <xf numFmtId="3" fontId="12" fillId="2" borderId="16" xfId="1" applyNumberFormat="1" applyFont="1" applyFill="1" applyBorder="1" applyAlignment="1">
      <alignment horizontal="center" vertical="top" wrapText="1"/>
    </xf>
    <xf numFmtId="0" fontId="12" fillId="2" borderId="0" xfId="57" applyFont="1" applyFill="1" applyBorder="1" applyAlignment="1">
      <alignment horizontal="right" vertical="center" wrapText="1"/>
    </xf>
    <xf numFmtId="0" fontId="40" fillId="2" borderId="0" xfId="57" applyFont="1" applyFill="1" applyBorder="1" applyAlignment="1">
      <alignment horizontal="center" vertical="center" wrapText="1"/>
    </xf>
    <xf numFmtId="0" fontId="24" fillId="2" borderId="0" xfId="57" applyFont="1" applyFill="1" applyBorder="1" applyAlignment="1">
      <alignment horizontal="center" vertical="center" wrapText="1"/>
    </xf>
    <xf numFmtId="0" fontId="11" fillId="2" borderId="0" xfId="57" applyFont="1" applyFill="1" applyBorder="1" applyAlignment="1">
      <alignment horizontal="center" vertical="center" wrapText="1"/>
    </xf>
    <xf numFmtId="0" fontId="28" fillId="2" borderId="0" xfId="1" applyFont="1" applyFill="1" applyAlignment="1">
      <alignment horizontal="right" wrapText="1"/>
    </xf>
    <xf numFmtId="0" fontId="55" fillId="2" borderId="0" xfId="1" applyFont="1" applyFill="1" applyAlignment="1">
      <alignment horizontal="right" wrapText="1"/>
    </xf>
    <xf numFmtId="0" fontId="56" fillId="2" borderId="0" xfId="1" applyFont="1" applyFill="1" applyAlignment="1">
      <alignment horizontal="right" wrapText="1"/>
    </xf>
    <xf numFmtId="0" fontId="13" fillId="2" borderId="13" xfId="1" applyFont="1" applyFill="1" applyBorder="1" applyAlignment="1">
      <alignment horizontal="center" vertical="center" wrapText="1"/>
    </xf>
    <xf numFmtId="0" fontId="13" fillId="2" borderId="15" xfId="1" applyFont="1" applyFill="1" applyBorder="1" applyAlignment="1">
      <alignment horizontal="center" vertical="center" wrapText="1"/>
    </xf>
    <xf numFmtId="0" fontId="13" fillId="2" borderId="24" xfId="1" applyFont="1" applyFill="1" applyBorder="1" applyAlignment="1">
      <alignment horizontal="center" vertical="center" wrapText="1"/>
    </xf>
    <xf numFmtId="0" fontId="13" fillId="2" borderId="11" xfId="1" applyFont="1" applyFill="1" applyBorder="1" applyAlignment="1">
      <alignment horizontal="center" vertical="center" wrapText="1"/>
    </xf>
    <xf numFmtId="3" fontId="13" fillId="2" borderId="14" xfId="1" applyNumberFormat="1" applyFont="1" applyFill="1" applyBorder="1" applyAlignment="1">
      <alignment horizontal="center" vertical="top" wrapText="1"/>
    </xf>
    <xf numFmtId="3" fontId="13" fillId="2" borderId="7" xfId="1" applyNumberFormat="1" applyFont="1" applyFill="1" applyBorder="1" applyAlignment="1">
      <alignment horizontal="center" vertical="top" wrapText="1"/>
    </xf>
    <xf numFmtId="3" fontId="13" fillId="2" borderId="3" xfId="1" applyNumberFormat="1" applyFont="1" applyFill="1" applyBorder="1" applyAlignment="1">
      <alignment horizontal="center" vertical="top" wrapText="1"/>
    </xf>
    <xf numFmtId="3" fontId="10" fillId="2" borderId="24" xfId="1" applyNumberFormat="1" applyFont="1" applyFill="1" applyBorder="1" applyAlignment="1">
      <alignment horizontal="center" vertical="top" wrapText="1"/>
    </xf>
    <xf numFmtId="3" fontId="10" fillId="2" borderId="26" xfId="1" applyNumberFormat="1" applyFont="1" applyFill="1" applyBorder="1" applyAlignment="1">
      <alignment horizontal="center" vertical="top" wrapText="1"/>
    </xf>
    <xf numFmtId="3" fontId="10" fillId="2" borderId="22" xfId="1" applyNumberFormat="1" applyFont="1" applyFill="1" applyBorder="1" applyAlignment="1">
      <alignment horizontal="center" vertical="top" wrapText="1"/>
    </xf>
    <xf numFmtId="3" fontId="10" fillId="2" borderId="10" xfId="1" applyNumberFormat="1" applyFont="1" applyFill="1" applyBorder="1" applyAlignment="1">
      <alignment horizontal="center" vertical="top" wrapText="1"/>
    </xf>
    <xf numFmtId="3" fontId="10" fillId="2" borderId="9" xfId="1" applyNumberFormat="1" applyFont="1" applyFill="1" applyBorder="1" applyAlignment="1">
      <alignment horizontal="center" vertical="top" wrapText="1"/>
    </xf>
    <xf numFmtId="3" fontId="10" fillId="2" borderId="23" xfId="1" applyNumberFormat="1" applyFont="1" applyFill="1" applyBorder="1" applyAlignment="1">
      <alignment horizontal="center" vertical="top" wrapText="1"/>
    </xf>
    <xf numFmtId="0" fontId="31" fillId="2" borderId="13" xfId="1" applyFont="1" applyFill="1" applyBorder="1" applyAlignment="1">
      <alignment horizontal="center" vertical="top" wrapText="1"/>
    </xf>
    <xf numFmtId="0" fontId="31" fillId="2" borderId="15" xfId="1" applyFont="1" applyFill="1" applyBorder="1" applyAlignment="1">
      <alignment horizontal="center" vertical="top" wrapText="1"/>
    </xf>
    <xf numFmtId="0" fontId="31" fillId="2" borderId="17" xfId="1" applyFont="1" applyFill="1" applyBorder="1" applyAlignment="1">
      <alignment horizontal="center" vertical="top" wrapText="1"/>
    </xf>
    <xf numFmtId="0" fontId="13" fillId="2" borderId="14" xfId="1" applyFont="1" applyFill="1" applyBorder="1" applyAlignment="1">
      <alignment horizontal="center" vertical="top" wrapText="1"/>
    </xf>
    <xf numFmtId="0" fontId="13" fillId="2" borderId="7" xfId="1" applyFont="1" applyFill="1" applyBorder="1" applyAlignment="1">
      <alignment horizontal="center" vertical="top" wrapText="1"/>
    </xf>
    <xf numFmtId="0" fontId="13" fillId="2" borderId="3" xfId="1" applyFont="1" applyFill="1" applyBorder="1" applyAlignment="1">
      <alignment horizontal="center" vertical="top" wrapText="1"/>
    </xf>
    <xf numFmtId="0" fontId="50" fillId="2" borderId="0" xfId="1" applyFont="1" applyFill="1" applyAlignment="1">
      <alignment horizontal="right" wrapText="1"/>
    </xf>
    <xf numFmtId="0" fontId="19" fillId="2" borderId="0" xfId="1" applyFont="1" applyFill="1" applyBorder="1" applyAlignment="1">
      <alignment horizontal="center" vertical="center" wrapText="1"/>
    </xf>
    <xf numFmtId="0" fontId="16" fillId="2" borderId="2" xfId="1" applyFont="1" applyFill="1" applyBorder="1" applyAlignment="1">
      <alignment horizontal="center" vertical="center" wrapText="1"/>
    </xf>
    <xf numFmtId="0" fontId="16" fillId="2" borderId="7" xfId="1" applyFont="1" applyFill="1" applyBorder="1" applyAlignment="1">
      <alignment horizontal="center" vertical="center" wrapText="1"/>
    </xf>
    <xf numFmtId="0" fontId="16" fillId="2" borderId="3" xfId="1" applyFont="1" applyFill="1" applyBorder="1" applyAlignment="1">
      <alignment horizontal="center" vertical="center" wrapText="1"/>
    </xf>
    <xf numFmtId="4" fontId="34" fillId="2" borderId="2" xfId="2" applyNumberFormat="1" applyFont="1" applyFill="1" applyBorder="1" applyAlignment="1">
      <alignment horizontal="center" vertical="center" wrapText="1"/>
    </xf>
    <xf numFmtId="4" fontId="34" fillId="2" borderId="7" xfId="2" applyNumberFormat="1" applyFont="1" applyFill="1" applyBorder="1" applyAlignment="1">
      <alignment horizontal="center" vertical="center" wrapText="1"/>
    </xf>
    <xf numFmtId="4" fontId="34" fillId="2" borderId="3" xfId="2" applyNumberFormat="1" applyFont="1" applyFill="1" applyBorder="1" applyAlignment="1">
      <alignment horizontal="center" vertical="center" wrapText="1"/>
    </xf>
    <xf numFmtId="4" fontId="34" fillId="2" borderId="1" xfId="2" applyNumberFormat="1" applyFont="1" applyFill="1" applyBorder="1" applyAlignment="1">
      <alignment horizontal="center" vertical="center" wrapText="1"/>
    </xf>
    <xf numFmtId="4" fontId="38" fillId="2" borderId="2" xfId="1" applyNumberFormat="1" applyFont="1" applyFill="1" applyBorder="1" applyAlignment="1">
      <alignment horizontal="center" vertical="center" wrapText="1"/>
    </xf>
    <xf numFmtId="4" fontId="38" fillId="2" borderId="7" xfId="1" applyNumberFormat="1" applyFont="1" applyFill="1" applyBorder="1" applyAlignment="1">
      <alignment horizontal="center" vertical="center" wrapText="1"/>
    </xf>
    <xf numFmtId="4" fontId="38" fillId="2" borderId="3" xfId="1" applyNumberFormat="1" applyFont="1" applyFill="1" applyBorder="1" applyAlignment="1">
      <alignment horizontal="center" vertical="center" wrapText="1"/>
    </xf>
    <xf numFmtId="4" fontId="38" fillId="2" borderId="1" xfId="1" applyNumberFormat="1" applyFont="1" applyFill="1" applyBorder="1" applyAlignment="1">
      <alignment horizontal="center" vertical="center" wrapText="1"/>
    </xf>
    <xf numFmtId="173" fontId="13" fillId="2" borderId="21" xfId="2" applyNumberFormat="1" applyFont="1" applyFill="1" applyBorder="1" applyAlignment="1">
      <alignment horizontal="right" vertical="center" wrapText="1"/>
    </xf>
    <xf numFmtId="4" fontId="33" fillId="2" borderId="21" xfId="2" applyNumberFormat="1" applyFont="1" applyFill="1" applyBorder="1" applyAlignment="1">
      <alignment horizontal="right" vertical="center" wrapText="1"/>
    </xf>
    <xf numFmtId="4" fontId="33" fillId="2" borderId="30" xfId="2" applyNumberFormat="1" applyFont="1" applyFill="1" applyBorder="1" applyAlignment="1">
      <alignment horizontal="right" vertical="center" wrapText="1"/>
    </xf>
    <xf numFmtId="0" fontId="13" fillId="2" borderId="17" xfId="1" applyFont="1" applyFill="1" applyBorder="1" applyAlignment="1">
      <alignment horizontal="center" wrapText="1"/>
    </xf>
    <xf numFmtId="0" fontId="13" fillId="2" borderId="10" xfId="1" applyFont="1" applyFill="1" applyBorder="1" applyAlignment="1">
      <alignment wrapText="1"/>
    </xf>
    <xf numFmtId="178" fontId="31" fillId="2" borderId="17" xfId="1" applyNumberFormat="1" applyFont="1" applyFill="1" applyBorder="1" applyAlignment="1">
      <alignment vertical="center" wrapText="1"/>
    </xf>
    <xf numFmtId="3" fontId="31" fillId="2" borderId="3" xfId="2" applyNumberFormat="1" applyFont="1" applyFill="1" applyBorder="1" applyAlignment="1">
      <alignment horizontal="right" vertical="center" wrapText="1"/>
    </xf>
    <xf numFmtId="178" fontId="31" fillId="2" borderId="3" xfId="2" applyNumberFormat="1" applyFont="1" applyFill="1" applyBorder="1" applyAlignment="1">
      <alignment horizontal="right" vertical="center" wrapText="1"/>
    </xf>
    <xf numFmtId="167" fontId="13" fillId="2" borderId="3" xfId="2" applyNumberFormat="1" applyFont="1" applyFill="1" applyBorder="1" applyAlignment="1">
      <alignment horizontal="right" vertical="center" wrapText="1"/>
    </xf>
    <xf numFmtId="176" fontId="13" fillId="2" borderId="3" xfId="2" applyNumberFormat="1" applyFont="1" applyFill="1" applyBorder="1" applyAlignment="1">
      <alignment horizontal="right" vertical="center" wrapText="1"/>
    </xf>
    <xf numFmtId="178" fontId="31" fillId="2" borderId="3" xfId="44" applyNumberFormat="1" applyFont="1" applyFill="1" applyBorder="1" applyAlignment="1">
      <alignment horizontal="right" vertical="center" wrapText="1"/>
    </xf>
    <xf numFmtId="173" fontId="13" fillId="2" borderId="7" xfId="2" applyNumberFormat="1" applyFont="1" applyFill="1" applyBorder="1" applyAlignment="1">
      <alignment horizontal="right" vertical="center" wrapText="1"/>
    </xf>
    <xf numFmtId="4" fontId="33" fillId="2" borderId="3" xfId="2" applyNumberFormat="1" applyFont="1" applyFill="1" applyBorder="1" applyAlignment="1">
      <alignment horizontal="right" vertical="center" wrapText="1"/>
    </xf>
    <xf numFmtId="4" fontId="33" fillId="2" borderId="16" xfId="2" applyNumberFormat="1" applyFont="1" applyFill="1" applyBorder="1" applyAlignment="1">
      <alignment horizontal="right" vertical="center" wrapText="1"/>
    </xf>
    <xf numFmtId="0" fontId="31" fillId="2" borderId="15" xfId="1" applyFont="1" applyFill="1" applyBorder="1" applyAlignment="1">
      <alignment horizontal="center" vertical="center" wrapText="1"/>
    </xf>
    <xf numFmtId="0" fontId="13" fillId="2" borderId="2" xfId="1" applyFont="1" applyFill="1" applyBorder="1" applyAlignment="1">
      <alignment horizontal="center" vertical="center" wrapText="1"/>
    </xf>
    <xf numFmtId="1" fontId="21" fillId="2" borderId="2" xfId="1" applyNumberFormat="1" applyFont="1" applyFill="1" applyBorder="1" applyAlignment="1">
      <alignment horizontal="center" vertical="center" wrapText="1"/>
    </xf>
    <xf numFmtId="1" fontId="12" fillId="2" borderId="2" xfId="1" applyNumberFormat="1" applyFont="1" applyFill="1" applyBorder="1" applyAlignment="1">
      <alignment horizontal="center" vertical="center" wrapText="1"/>
    </xf>
    <xf numFmtId="1" fontId="21" fillId="2" borderId="31" xfId="1" applyNumberFormat="1" applyFont="1" applyFill="1" applyBorder="1" applyAlignment="1">
      <alignment horizontal="center" vertical="center" wrapText="1"/>
    </xf>
    <xf numFmtId="0" fontId="13" fillId="2" borderId="32" xfId="1" applyFont="1" applyFill="1" applyBorder="1" applyAlignment="1">
      <alignment horizontal="center" vertical="center" wrapText="1"/>
    </xf>
    <xf numFmtId="0" fontId="13" fillId="2" borderId="33" xfId="1" applyFont="1" applyFill="1" applyBorder="1" applyAlignment="1">
      <alignment horizontal="center" vertical="center" wrapText="1"/>
    </xf>
    <xf numFmtId="0" fontId="13" fillId="2" borderId="34" xfId="1" applyFont="1" applyFill="1" applyBorder="1" applyAlignment="1">
      <alignment horizontal="center" vertical="center" wrapText="1"/>
    </xf>
    <xf numFmtId="3" fontId="13" fillId="2" borderId="34" xfId="1" applyNumberFormat="1" applyFont="1" applyFill="1" applyBorder="1" applyAlignment="1">
      <alignment horizontal="center" vertical="center" wrapText="1"/>
    </xf>
    <xf numFmtId="1" fontId="13" fillId="2" borderId="34" xfId="1" applyNumberFormat="1" applyFont="1" applyFill="1" applyBorder="1" applyAlignment="1">
      <alignment horizontal="center" vertical="center" wrapText="1"/>
    </xf>
    <xf numFmtId="1" fontId="13" fillId="2" borderId="35" xfId="1" applyNumberFormat="1" applyFont="1" applyFill="1" applyBorder="1" applyAlignment="1">
      <alignment horizontal="center" vertical="center" wrapText="1"/>
    </xf>
    <xf numFmtId="177" fontId="31" fillId="2" borderId="3" xfId="2" applyNumberFormat="1" applyFont="1" applyFill="1" applyBorder="1" applyAlignment="1">
      <alignment horizontal="right" vertical="center" wrapText="1"/>
    </xf>
    <xf numFmtId="177" fontId="13" fillId="2" borderId="3" xfId="2" applyNumberFormat="1" applyFont="1" applyFill="1" applyBorder="1" applyAlignment="1">
      <alignment horizontal="right" vertical="center" wrapText="1"/>
    </xf>
    <xf numFmtId="177" fontId="31" fillId="2" borderId="3" xfId="44" applyNumberFormat="1" applyFont="1" applyFill="1" applyBorder="1" applyAlignment="1">
      <alignment horizontal="right" vertical="center" wrapText="1"/>
    </xf>
    <xf numFmtId="167" fontId="31" fillId="2" borderId="3" xfId="44" applyNumberFormat="1" applyFont="1" applyFill="1" applyBorder="1" applyAlignment="1">
      <alignment horizontal="right" vertical="center" wrapText="1"/>
    </xf>
  </cellXfs>
  <cellStyles count="323">
    <cellStyle name="Денежный 2" xfId="45"/>
    <cellStyle name="Обычный" xfId="0" builtinId="0"/>
    <cellStyle name="Обычный 2" xfId="1"/>
    <cellStyle name="Обычный 2 10" xfId="60"/>
    <cellStyle name="Обычный 2 10 2" xfId="130"/>
    <cellStyle name="Обычный 2 10 2 2" xfId="268"/>
    <cellStyle name="Обычный 2 10 3" xfId="199"/>
    <cellStyle name="Обычный 2 11" xfId="108"/>
    <cellStyle name="Обычный 2 11 2" xfId="246"/>
    <cellStyle name="Обычный 2 12" xfId="315"/>
    <cellStyle name="Обычный 2 13" xfId="177"/>
    <cellStyle name="Обычный 2 2" xfId="3"/>
    <cellStyle name="Обычный 2 3" xfId="39"/>
    <cellStyle name="Обычный 2 3 2" xfId="43"/>
    <cellStyle name="Обычный 2 3 2 2" xfId="52"/>
    <cellStyle name="Обычный 2 3 2 2 2" xfId="100"/>
    <cellStyle name="Обычный 2 3 2 2 2 2" xfId="169"/>
    <cellStyle name="Обычный 2 3 2 2 2 2 2" xfId="307"/>
    <cellStyle name="Обычный 2 3 2 2 2 3" xfId="238"/>
    <cellStyle name="Обычный 2 3 2 2 3" xfId="74"/>
    <cellStyle name="Обычный 2 3 2 2 3 2" xfId="144"/>
    <cellStyle name="Обычный 2 3 2 2 3 2 2" xfId="282"/>
    <cellStyle name="Обычный 2 3 2 2 3 3" xfId="213"/>
    <cellStyle name="Обычный 2 3 2 2 4" xfId="122"/>
    <cellStyle name="Обычный 2 3 2 2 4 2" xfId="260"/>
    <cellStyle name="Обычный 2 3 2 2 5" xfId="191"/>
    <cellStyle name="Обычный 2 3 2 3" xfId="92"/>
    <cellStyle name="Обычный 2 3 2 3 2" xfId="161"/>
    <cellStyle name="Обычный 2 3 2 3 2 2" xfId="299"/>
    <cellStyle name="Обычный 2 3 2 3 3" xfId="230"/>
    <cellStyle name="Обычный 2 3 2 4" xfId="66"/>
    <cellStyle name="Обычный 2 3 2 4 2" xfId="136"/>
    <cellStyle name="Обычный 2 3 2 4 2 2" xfId="274"/>
    <cellStyle name="Обычный 2 3 2 4 3" xfId="205"/>
    <cellStyle name="Обычный 2 3 2 5" xfId="114"/>
    <cellStyle name="Обычный 2 3 2 5 2" xfId="252"/>
    <cellStyle name="Обычный 2 3 2 6" xfId="321"/>
    <cellStyle name="Обычный 2 3 2 7" xfId="183"/>
    <cellStyle name="Обычный 2 3 3" xfId="48"/>
    <cellStyle name="Обычный 2 3 3 2" xfId="96"/>
    <cellStyle name="Обычный 2 3 3 2 2" xfId="165"/>
    <cellStyle name="Обычный 2 3 3 2 2 2" xfId="303"/>
    <cellStyle name="Обычный 2 3 3 2 3" xfId="234"/>
    <cellStyle name="Обычный 2 3 3 3" xfId="70"/>
    <cellStyle name="Обычный 2 3 3 3 2" xfId="140"/>
    <cellStyle name="Обычный 2 3 3 3 2 2" xfId="278"/>
    <cellStyle name="Обычный 2 3 3 3 3" xfId="209"/>
    <cellStyle name="Обычный 2 3 3 4" xfId="118"/>
    <cellStyle name="Обычный 2 3 3 4 2" xfId="256"/>
    <cellStyle name="Обычный 2 3 3 5" xfId="187"/>
    <cellStyle name="Обычный 2 3 4" xfId="88"/>
    <cellStyle name="Обычный 2 3 4 2" xfId="157"/>
    <cellStyle name="Обычный 2 3 4 2 2" xfId="295"/>
    <cellStyle name="Обычный 2 3 4 3" xfId="226"/>
    <cellStyle name="Обычный 2 3 5" xfId="62"/>
    <cellStyle name="Обычный 2 3 5 2" xfId="132"/>
    <cellStyle name="Обычный 2 3 5 2 2" xfId="270"/>
    <cellStyle name="Обычный 2 3 5 3" xfId="201"/>
    <cellStyle name="Обычный 2 3 6" xfId="110"/>
    <cellStyle name="Обычный 2 3 6 2" xfId="248"/>
    <cellStyle name="Обычный 2 3 7" xfId="317"/>
    <cellStyle name="Обычный 2 3 8" xfId="179"/>
    <cellStyle name="Обычный 2 4" xfId="41"/>
    <cellStyle name="Обычный 2 4 2" xfId="50"/>
    <cellStyle name="Обычный 2 4 2 2" xfId="98"/>
    <cellStyle name="Обычный 2 4 2 2 2" xfId="167"/>
    <cellStyle name="Обычный 2 4 2 2 2 2" xfId="305"/>
    <cellStyle name="Обычный 2 4 2 2 3" xfId="236"/>
    <cellStyle name="Обычный 2 4 2 3" xfId="72"/>
    <cellStyle name="Обычный 2 4 2 3 2" xfId="142"/>
    <cellStyle name="Обычный 2 4 2 3 2 2" xfId="280"/>
    <cellStyle name="Обычный 2 4 2 3 3" xfId="211"/>
    <cellStyle name="Обычный 2 4 2 4" xfId="120"/>
    <cellStyle name="Обычный 2 4 2 4 2" xfId="258"/>
    <cellStyle name="Обычный 2 4 2 5" xfId="189"/>
    <cellStyle name="Обычный 2 4 3" xfId="90"/>
    <cellStyle name="Обычный 2 4 3 2" xfId="159"/>
    <cellStyle name="Обычный 2 4 3 2 2" xfId="297"/>
    <cellStyle name="Обычный 2 4 3 3" xfId="228"/>
    <cellStyle name="Обычный 2 4 4" xfId="64"/>
    <cellStyle name="Обычный 2 4 4 2" xfId="134"/>
    <cellStyle name="Обычный 2 4 4 2 2" xfId="272"/>
    <cellStyle name="Обычный 2 4 4 3" xfId="203"/>
    <cellStyle name="Обычный 2 4 5" xfId="112"/>
    <cellStyle name="Обычный 2 4 5 2" xfId="250"/>
    <cellStyle name="Обычный 2 4 6" xfId="319"/>
    <cellStyle name="Обычный 2 4 7" xfId="181"/>
    <cellStyle name="Обычный 2 5" xfId="46"/>
    <cellStyle name="Обычный 2 5 2" xfId="94"/>
    <cellStyle name="Обычный 2 5 2 2" xfId="163"/>
    <cellStyle name="Обычный 2 5 2 2 2" xfId="301"/>
    <cellStyle name="Обычный 2 5 2 3" xfId="232"/>
    <cellStyle name="Обычный 2 5 3" xfId="68"/>
    <cellStyle name="Обычный 2 5 3 2" xfId="138"/>
    <cellStyle name="Обычный 2 5 3 2 2" xfId="276"/>
    <cellStyle name="Обычный 2 5 3 3" xfId="207"/>
    <cellStyle name="Обычный 2 5 4" xfId="116"/>
    <cellStyle name="Обычный 2 5 4 2" xfId="254"/>
    <cellStyle name="Обычный 2 5 5" xfId="185"/>
    <cellStyle name="Обычный 2 6" xfId="54"/>
    <cellStyle name="Обычный 2 6 2" xfId="102"/>
    <cellStyle name="Обычный 2 6 2 2" xfId="171"/>
    <cellStyle name="Обычный 2 6 2 2 2" xfId="309"/>
    <cellStyle name="Обычный 2 6 2 3" xfId="240"/>
    <cellStyle name="Обычный 2 6 3" xfId="76"/>
    <cellStyle name="Обычный 2 6 3 2" xfId="146"/>
    <cellStyle name="Обычный 2 6 3 2 2" xfId="284"/>
    <cellStyle name="Обычный 2 6 3 3" xfId="215"/>
    <cellStyle name="Обычный 2 6 4" xfId="124"/>
    <cellStyle name="Обычный 2 6 4 2" xfId="262"/>
    <cellStyle name="Обычный 2 6 5" xfId="193"/>
    <cellStyle name="Обычный 2 7" xfId="57"/>
    <cellStyle name="Обычный 2 7 2" xfId="105"/>
    <cellStyle name="Обычный 2 7 2 2" xfId="174"/>
    <cellStyle name="Обычный 2 7 2 2 2" xfId="312"/>
    <cellStyle name="Обычный 2 7 2 3" xfId="243"/>
    <cellStyle name="Обычный 2 7 3" xfId="79"/>
    <cellStyle name="Обычный 2 7 3 2" xfId="149"/>
    <cellStyle name="Обычный 2 7 3 2 2" xfId="287"/>
    <cellStyle name="Обычный 2 7 3 3" xfId="218"/>
    <cellStyle name="Обычный 2 7 4" xfId="127"/>
    <cellStyle name="Обычный 2 7 4 2" xfId="265"/>
    <cellStyle name="Обычный 2 7 5" xfId="196"/>
    <cellStyle name="Обычный 2 8" xfId="86"/>
    <cellStyle name="Обычный 2 8 2" xfId="155"/>
    <cellStyle name="Обычный 2 8 2 2" xfId="293"/>
    <cellStyle name="Обычный 2 8 3" xfId="224"/>
    <cellStyle name="Обычный 2 9" xfId="82"/>
    <cellStyle name="Обычный 2 9 2" xfId="152"/>
    <cellStyle name="Обычный 2 9 2 2" xfId="290"/>
    <cellStyle name="Обычный 2 9 3" xfId="221"/>
    <cellStyle name="Обычный 3" xfId="4"/>
    <cellStyle name="Обычный 3 2" xfId="5"/>
    <cellStyle name="Обычный 4" xfId="38"/>
    <cellStyle name="Обычный 5" xfId="85"/>
    <cellStyle name="Процентный 2" xfId="6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2"/>
    <cellStyle name="Финансовый 2 10" xfId="109"/>
    <cellStyle name="Финансовый 2 10 2" xfId="247"/>
    <cellStyle name="Финансовый 2 11" xfId="316"/>
    <cellStyle name="Финансовый 2 12" xfId="178"/>
    <cellStyle name="Финансовый 2 2" xfId="40"/>
    <cellStyle name="Финансовый 2 2 2" xfId="44"/>
    <cellStyle name="Финансовый 2 2 2 10" xfId="184"/>
    <cellStyle name="Финансовый 2 2 2 2" xfId="53"/>
    <cellStyle name="Финансовый 2 2 2 2 2" xfId="101"/>
    <cellStyle name="Финансовый 2 2 2 2 2 2" xfId="170"/>
    <cellStyle name="Финансовый 2 2 2 2 2 2 2" xfId="308"/>
    <cellStyle name="Финансовый 2 2 2 2 2 3" xfId="239"/>
    <cellStyle name="Финансовый 2 2 2 2 3" xfId="75"/>
    <cellStyle name="Финансовый 2 2 2 2 3 2" xfId="145"/>
    <cellStyle name="Финансовый 2 2 2 2 3 2 2" xfId="283"/>
    <cellStyle name="Финансовый 2 2 2 2 3 3" xfId="214"/>
    <cellStyle name="Финансовый 2 2 2 2 4" xfId="123"/>
    <cellStyle name="Финансовый 2 2 2 2 4 2" xfId="261"/>
    <cellStyle name="Финансовый 2 2 2 2 5" xfId="192"/>
    <cellStyle name="Финансовый 2 2 2 3" xfId="56"/>
    <cellStyle name="Финансовый 2 2 2 3 2" xfId="104"/>
    <cellStyle name="Финансовый 2 2 2 3 2 2" xfId="173"/>
    <cellStyle name="Финансовый 2 2 2 3 2 2 2" xfId="311"/>
    <cellStyle name="Финансовый 2 2 2 3 2 3" xfId="242"/>
    <cellStyle name="Финансовый 2 2 2 3 3" xfId="78"/>
    <cellStyle name="Финансовый 2 2 2 3 3 2" xfId="148"/>
    <cellStyle name="Финансовый 2 2 2 3 3 2 2" xfId="286"/>
    <cellStyle name="Финансовый 2 2 2 3 3 3" xfId="217"/>
    <cellStyle name="Финансовый 2 2 2 3 4" xfId="126"/>
    <cellStyle name="Финансовый 2 2 2 3 4 2" xfId="264"/>
    <cellStyle name="Финансовый 2 2 2 3 5" xfId="195"/>
    <cellStyle name="Финансовый 2 2 2 4" xfId="59"/>
    <cellStyle name="Финансовый 2 2 2 4 2" xfId="107"/>
    <cellStyle name="Финансовый 2 2 2 4 2 2" xfId="176"/>
    <cellStyle name="Финансовый 2 2 2 4 2 2 2" xfId="314"/>
    <cellStyle name="Финансовый 2 2 2 4 2 3" xfId="245"/>
    <cellStyle name="Финансовый 2 2 2 4 3" xfId="81"/>
    <cellStyle name="Финансовый 2 2 2 4 3 2" xfId="151"/>
    <cellStyle name="Финансовый 2 2 2 4 3 2 2" xfId="289"/>
    <cellStyle name="Финансовый 2 2 2 4 3 3" xfId="220"/>
    <cellStyle name="Финансовый 2 2 2 4 4" xfId="129"/>
    <cellStyle name="Финансовый 2 2 2 4 4 2" xfId="267"/>
    <cellStyle name="Финансовый 2 2 2 4 5" xfId="198"/>
    <cellStyle name="Финансовый 2 2 2 5" xfId="93"/>
    <cellStyle name="Финансовый 2 2 2 5 2" xfId="162"/>
    <cellStyle name="Финансовый 2 2 2 5 2 2" xfId="300"/>
    <cellStyle name="Финансовый 2 2 2 5 3" xfId="231"/>
    <cellStyle name="Финансовый 2 2 2 6" xfId="84"/>
    <cellStyle name="Финансовый 2 2 2 6 2" xfId="154"/>
    <cellStyle name="Финансовый 2 2 2 6 2 2" xfId="292"/>
    <cellStyle name="Финансовый 2 2 2 6 3" xfId="223"/>
    <cellStyle name="Финансовый 2 2 2 7" xfId="67"/>
    <cellStyle name="Финансовый 2 2 2 7 2" xfId="137"/>
    <cellStyle name="Финансовый 2 2 2 7 2 2" xfId="275"/>
    <cellStyle name="Финансовый 2 2 2 7 3" xfId="206"/>
    <cellStyle name="Финансовый 2 2 2 8" xfId="115"/>
    <cellStyle name="Финансовый 2 2 2 8 2" xfId="253"/>
    <cellStyle name="Финансовый 2 2 2 9" xfId="322"/>
    <cellStyle name="Финансовый 2 2 3" xfId="49"/>
    <cellStyle name="Финансовый 2 2 3 2" xfId="97"/>
    <cellStyle name="Финансовый 2 2 3 2 2" xfId="166"/>
    <cellStyle name="Финансовый 2 2 3 2 2 2" xfId="304"/>
    <cellStyle name="Финансовый 2 2 3 2 3" xfId="235"/>
    <cellStyle name="Финансовый 2 2 3 3" xfId="71"/>
    <cellStyle name="Финансовый 2 2 3 3 2" xfId="141"/>
    <cellStyle name="Финансовый 2 2 3 3 2 2" xfId="279"/>
    <cellStyle name="Финансовый 2 2 3 3 3" xfId="210"/>
    <cellStyle name="Финансовый 2 2 3 4" xfId="119"/>
    <cellStyle name="Финансовый 2 2 3 4 2" xfId="257"/>
    <cellStyle name="Финансовый 2 2 3 5" xfId="188"/>
    <cellStyle name="Финансовый 2 2 4" xfId="89"/>
    <cellStyle name="Финансовый 2 2 4 2" xfId="158"/>
    <cellStyle name="Финансовый 2 2 4 2 2" xfId="296"/>
    <cellStyle name="Финансовый 2 2 4 3" xfId="227"/>
    <cellStyle name="Финансовый 2 2 5" xfId="63"/>
    <cellStyle name="Финансовый 2 2 5 2" xfId="133"/>
    <cellStyle name="Финансовый 2 2 5 2 2" xfId="271"/>
    <cellStyle name="Финансовый 2 2 5 3" xfId="202"/>
    <cellStyle name="Финансовый 2 2 6" xfId="111"/>
    <cellStyle name="Финансовый 2 2 6 2" xfId="249"/>
    <cellStyle name="Финансовый 2 2 7" xfId="318"/>
    <cellStyle name="Финансовый 2 2 8" xfId="180"/>
    <cellStyle name="Финансовый 2 3" xfId="42"/>
    <cellStyle name="Финансовый 2 3 2" xfId="51"/>
    <cellStyle name="Финансовый 2 3 2 2" xfId="99"/>
    <cellStyle name="Финансовый 2 3 2 2 2" xfId="168"/>
    <cellStyle name="Финансовый 2 3 2 2 2 2" xfId="306"/>
    <cellStyle name="Финансовый 2 3 2 2 3" xfId="237"/>
    <cellStyle name="Финансовый 2 3 2 3" xfId="73"/>
    <cellStyle name="Финансовый 2 3 2 3 2" xfId="143"/>
    <cellStyle name="Финансовый 2 3 2 3 2 2" xfId="281"/>
    <cellStyle name="Финансовый 2 3 2 3 3" xfId="212"/>
    <cellStyle name="Финансовый 2 3 2 4" xfId="121"/>
    <cellStyle name="Финансовый 2 3 2 4 2" xfId="259"/>
    <cellStyle name="Финансовый 2 3 2 5" xfId="190"/>
    <cellStyle name="Финансовый 2 3 3" xfId="91"/>
    <cellStyle name="Финансовый 2 3 3 2" xfId="160"/>
    <cellStyle name="Финансовый 2 3 3 2 2" xfId="298"/>
    <cellStyle name="Финансовый 2 3 3 3" xfId="229"/>
    <cellStyle name="Финансовый 2 3 4" xfId="65"/>
    <cellStyle name="Финансовый 2 3 4 2" xfId="135"/>
    <cellStyle name="Финансовый 2 3 4 2 2" xfId="273"/>
    <cellStyle name="Финансовый 2 3 4 3" xfId="204"/>
    <cellStyle name="Финансовый 2 3 5" xfId="113"/>
    <cellStyle name="Финансовый 2 3 5 2" xfId="251"/>
    <cellStyle name="Финансовый 2 3 6" xfId="320"/>
    <cellStyle name="Финансовый 2 3 7" xfId="182"/>
    <cellStyle name="Финансовый 2 4" xfId="47"/>
    <cellStyle name="Финансовый 2 4 2" xfId="95"/>
    <cellStyle name="Финансовый 2 4 2 2" xfId="164"/>
    <cellStyle name="Финансовый 2 4 2 2 2" xfId="302"/>
    <cellStyle name="Финансовый 2 4 2 3" xfId="233"/>
    <cellStyle name="Финансовый 2 4 3" xfId="69"/>
    <cellStyle name="Финансовый 2 4 3 2" xfId="139"/>
    <cellStyle name="Финансовый 2 4 3 2 2" xfId="277"/>
    <cellStyle name="Финансовый 2 4 3 3" xfId="208"/>
    <cellStyle name="Финансовый 2 4 4" xfId="117"/>
    <cellStyle name="Финансовый 2 4 4 2" xfId="255"/>
    <cellStyle name="Финансовый 2 4 5" xfId="186"/>
    <cellStyle name="Финансовый 2 5" xfId="55"/>
    <cellStyle name="Финансовый 2 5 2" xfId="103"/>
    <cellStyle name="Финансовый 2 5 2 2" xfId="172"/>
    <cellStyle name="Финансовый 2 5 2 2 2" xfId="310"/>
    <cellStyle name="Финансовый 2 5 2 3" xfId="241"/>
    <cellStyle name="Финансовый 2 5 3" xfId="77"/>
    <cellStyle name="Финансовый 2 5 3 2" xfId="147"/>
    <cellStyle name="Финансовый 2 5 3 2 2" xfId="285"/>
    <cellStyle name="Финансовый 2 5 3 3" xfId="216"/>
    <cellStyle name="Финансовый 2 5 4" xfId="125"/>
    <cellStyle name="Финансовый 2 5 4 2" xfId="263"/>
    <cellStyle name="Финансовый 2 5 5" xfId="194"/>
    <cellStyle name="Финансовый 2 6" xfId="58"/>
    <cellStyle name="Финансовый 2 6 2" xfId="106"/>
    <cellStyle name="Финансовый 2 6 2 2" xfId="175"/>
    <cellStyle name="Финансовый 2 6 2 2 2" xfId="313"/>
    <cellStyle name="Финансовый 2 6 2 3" xfId="244"/>
    <cellStyle name="Финансовый 2 6 3" xfId="80"/>
    <cellStyle name="Финансовый 2 6 3 2" xfId="150"/>
    <cellStyle name="Финансовый 2 6 3 2 2" xfId="288"/>
    <cellStyle name="Финансовый 2 6 3 3" xfId="219"/>
    <cellStyle name="Финансовый 2 6 4" xfId="128"/>
    <cellStyle name="Финансовый 2 6 4 2" xfId="266"/>
    <cellStyle name="Финансовый 2 6 5" xfId="197"/>
    <cellStyle name="Финансовый 2 7" xfId="87"/>
    <cellStyle name="Финансовый 2 7 2" xfId="156"/>
    <cellStyle name="Финансовый 2 7 2 2" xfId="294"/>
    <cellStyle name="Финансовый 2 7 3" xfId="225"/>
    <cellStyle name="Финансовый 2 8" xfId="83"/>
    <cellStyle name="Финансовый 2 8 2" xfId="153"/>
    <cellStyle name="Финансовый 2 8 2 2" xfId="291"/>
    <cellStyle name="Финансовый 2 8 3" xfId="222"/>
    <cellStyle name="Финансовый 2 9" xfId="61"/>
    <cellStyle name="Финансовый 2 9 2" xfId="131"/>
    <cellStyle name="Финансовый 2 9 2 2" xfId="269"/>
    <cellStyle name="Финансовый 2 9 3" xfId="200"/>
    <cellStyle name="Финансовый 20" xfId="17"/>
    <cellStyle name="Финансовый 21" xfId="18"/>
    <cellStyle name="Финансовый 22" xfId="19"/>
    <cellStyle name="Финансовый 23" xfId="20"/>
    <cellStyle name="Финансовый 24" xfId="21"/>
    <cellStyle name="Финансовый 25" xfId="22"/>
    <cellStyle name="Финансовый 26" xfId="23"/>
    <cellStyle name="Финансовый 27" xfId="24"/>
    <cellStyle name="Финансовый 28" xfId="25"/>
    <cellStyle name="Финансовый 29" xfId="26"/>
    <cellStyle name="Финансовый 3" xfId="27"/>
    <cellStyle name="Финансовый 30" xfId="28"/>
    <cellStyle name="Финансовый 31" xfId="29"/>
    <cellStyle name="Финансовый 32" xfId="30"/>
    <cellStyle name="Финансовый 33" xfId="31"/>
    <cellStyle name="Финансовый 4" xfId="32"/>
    <cellStyle name="Финансовый 5" xfId="33"/>
    <cellStyle name="Финансовый 6" xfId="34"/>
    <cellStyle name="Финансовый 7" xfId="35"/>
    <cellStyle name="Финансовый 8" xfId="36"/>
    <cellStyle name="Финансовый 9" xfId="37"/>
  </cellStyles>
  <dxfs count="0"/>
  <tableStyles count="0" defaultTableStyle="TableStyleMedium2" defaultPivotStyle="PivotStyleLight16"/>
  <colors>
    <mruColors>
      <color rgb="FF0000FF"/>
      <color rgb="FFFF5050"/>
      <color rgb="FF990000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20</xdr:row>
      <xdr:rowOff>447675</xdr:rowOff>
    </xdr:from>
    <xdr:to>
      <xdr:col>2</xdr:col>
      <xdr:colOff>714375</xdr:colOff>
      <xdr:row>21</xdr:row>
      <xdr:rowOff>133350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0782300"/>
          <a:ext cx="5238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21"/>
  <sheetViews>
    <sheetView view="pageBreakPreview" zoomScaleNormal="100" zoomScaleSheetLayoutView="100" workbookViewId="0">
      <selection activeCell="C8" sqref="C8:F19"/>
    </sheetView>
  </sheetViews>
  <sheetFormatPr defaultRowHeight="15.75" x14ac:dyDescent="0.25"/>
  <cols>
    <col min="1" max="1" width="6.140625" style="80" customWidth="1"/>
    <col min="2" max="2" width="33.42578125" style="80" customWidth="1"/>
    <col min="3" max="3" width="18" style="80" customWidth="1"/>
    <col min="4" max="4" width="13.42578125" style="80" customWidth="1"/>
    <col min="5" max="5" width="17.28515625" style="80" customWidth="1"/>
    <col min="6" max="6" width="14.28515625" style="80" customWidth="1"/>
    <col min="7" max="7" width="18.28515625" style="80" customWidth="1"/>
    <col min="8" max="8" width="9.85546875" style="80" customWidth="1"/>
    <col min="9" max="9" width="11.28515625" style="80" customWidth="1"/>
    <col min="10" max="10" width="7.28515625" style="80" customWidth="1"/>
    <col min="11" max="11" width="13.85546875" style="80" customWidth="1"/>
    <col min="12" max="12" width="13.140625" style="80" customWidth="1"/>
    <col min="13" max="16384" width="9.140625" style="80"/>
  </cols>
  <sheetData>
    <row r="1" spans="1:12" x14ac:dyDescent="0.25">
      <c r="A1" s="241" t="s">
        <v>0</v>
      </c>
      <c r="B1" s="241"/>
      <c r="C1" s="241"/>
      <c r="D1" s="241"/>
      <c r="E1" s="241"/>
      <c r="F1" s="241"/>
      <c r="G1" s="79"/>
      <c r="H1" s="79"/>
      <c r="I1" s="79"/>
    </row>
    <row r="2" spans="1:12" ht="35.25" customHeight="1" x14ac:dyDescent="0.25">
      <c r="A2" s="242" t="s">
        <v>49</v>
      </c>
      <c r="B2" s="242"/>
      <c r="C2" s="242"/>
      <c r="D2" s="242"/>
      <c r="E2" s="242"/>
      <c r="F2" s="242"/>
      <c r="G2" s="81"/>
      <c r="H2" s="79"/>
      <c r="I2" s="79"/>
    </row>
    <row r="3" spans="1:12" ht="13.5" customHeight="1" x14ac:dyDescent="0.25">
      <c r="A3" s="242"/>
      <c r="B3" s="242"/>
      <c r="C3" s="242"/>
      <c r="D3" s="242"/>
      <c r="E3" s="242"/>
      <c r="F3" s="242"/>
      <c r="G3" s="242"/>
      <c r="H3" s="241"/>
      <c r="I3" s="241"/>
    </row>
    <row r="4" spans="1:12" ht="15.75" customHeight="1" x14ac:dyDescent="0.25">
      <c r="A4" s="243" t="s">
        <v>7</v>
      </c>
      <c r="B4" s="243" t="s">
        <v>8</v>
      </c>
      <c r="C4" s="246" t="s">
        <v>56</v>
      </c>
      <c r="D4" s="246" t="s">
        <v>27</v>
      </c>
      <c r="E4" s="246" t="s">
        <v>43</v>
      </c>
      <c r="F4" s="246" t="s">
        <v>48</v>
      </c>
    </row>
    <row r="5" spans="1:12" x14ac:dyDescent="0.25">
      <c r="A5" s="244"/>
      <c r="B5" s="244"/>
      <c r="C5" s="247"/>
      <c r="D5" s="247"/>
      <c r="E5" s="247"/>
      <c r="F5" s="247"/>
    </row>
    <row r="6" spans="1:12" ht="99.75" customHeight="1" x14ac:dyDescent="0.25">
      <c r="A6" s="245"/>
      <c r="B6" s="245"/>
      <c r="C6" s="248"/>
      <c r="D6" s="248"/>
      <c r="E6" s="248"/>
      <c r="F6" s="248"/>
    </row>
    <row r="7" spans="1:12" s="84" customFormat="1" ht="12.75" x14ac:dyDescent="0.2">
      <c r="A7" s="82">
        <v>1</v>
      </c>
      <c r="B7" s="82">
        <v>2</v>
      </c>
      <c r="C7" s="82">
        <v>3</v>
      </c>
      <c r="D7" s="83">
        <v>4</v>
      </c>
      <c r="E7" s="83">
        <v>5</v>
      </c>
      <c r="F7" s="83">
        <v>6</v>
      </c>
    </row>
    <row r="8" spans="1:12" s="84" customFormat="1" ht="31.5" x14ac:dyDescent="0.25">
      <c r="A8" s="85">
        <v>1</v>
      </c>
      <c r="B8" s="86" t="s">
        <v>22</v>
      </c>
      <c r="C8" s="87"/>
      <c r="D8" s="88"/>
      <c r="E8" s="89"/>
      <c r="F8" s="90"/>
    </row>
    <row r="9" spans="1:12" s="84" customFormat="1" ht="19.5" customHeight="1" x14ac:dyDescent="0.25">
      <c r="A9" s="82">
        <v>1</v>
      </c>
      <c r="B9" s="86" t="s">
        <v>23</v>
      </c>
      <c r="C9" s="87"/>
      <c r="D9" s="88"/>
      <c r="E9" s="89"/>
      <c r="F9" s="90"/>
      <c r="H9" s="105"/>
      <c r="I9" s="105"/>
      <c r="J9" s="106"/>
      <c r="K9" s="106"/>
      <c r="L9" s="106"/>
    </row>
    <row r="10" spans="1:12" s="84" customFormat="1" ht="19.5" customHeight="1" x14ac:dyDescent="0.25">
      <c r="A10" s="82">
        <v>2</v>
      </c>
      <c r="B10" s="86" t="s">
        <v>24</v>
      </c>
      <c r="C10" s="87"/>
      <c r="D10" s="88"/>
      <c r="E10" s="89"/>
      <c r="F10" s="90"/>
      <c r="J10" s="106"/>
      <c r="K10" s="106"/>
      <c r="L10" s="106"/>
    </row>
    <row r="11" spans="1:12" s="84" customFormat="1" ht="19.5" customHeight="1" x14ac:dyDescent="0.25">
      <c r="A11" s="82">
        <v>3</v>
      </c>
      <c r="B11" s="86" t="s">
        <v>25</v>
      </c>
      <c r="C11" s="87"/>
      <c r="D11" s="88"/>
      <c r="E11" s="89"/>
      <c r="F11" s="90"/>
      <c r="H11" s="105"/>
      <c r="I11" s="105"/>
      <c r="J11" s="106"/>
      <c r="K11" s="106"/>
      <c r="L11" s="106"/>
    </row>
    <row r="12" spans="1:12" s="84" customFormat="1" ht="19.5" customHeight="1" x14ac:dyDescent="0.25">
      <c r="A12" s="82">
        <v>4</v>
      </c>
      <c r="B12" s="86" t="s">
        <v>26</v>
      </c>
      <c r="C12" s="87"/>
      <c r="D12" s="88"/>
      <c r="E12" s="89"/>
      <c r="F12" s="90"/>
    </row>
    <row r="13" spans="1:12" ht="21.75" customHeight="1" x14ac:dyDescent="0.25">
      <c r="A13" s="82">
        <v>5</v>
      </c>
      <c r="B13" s="91" t="s">
        <v>1</v>
      </c>
      <c r="C13" s="87"/>
      <c r="D13" s="88"/>
      <c r="E13" s="89"/>
      <c r="F13" s="90"/>
      <c r="G13" s="84"/>
      <c r="H13" s="98"/>
      <c r="I13" s="98"/>
      <c r="K13" s="107"/>
      <c r="L13" s="107"/>
    </row>
    <row r="14" spans="1:12" ht="23.25" customHeight="1" x14ac:dyDescent="0.25">
      <c r="A14" s="82">
        <v>6</v>
      </c>
      <c r="B14" s="91" t="s">
        <v>6</v>
      </c>
      <c r="C14" s="87"/>
      <c r="D14" s="88"/>
      <c r="E14" s="89"/>
      <c r="F14" s="90"/>
      <c r="G14" s="84"/>
    </row>
    <row r="15" spans="1:12" ht="23.25" customHeight="1" x14ac:dyDescent="0.25">
      <c r="A15" s="82">
        <v>7</v>
      </c>
      <c r="B15" s="91" t="s">
        <v>4</v>
      </c>
      <c r="C15" s="87"/>
      <c r="D15" s="88"/>
      <c r="E15" s="89"/>
      <c r="F15" s="90"/>
      <c r="G15" s="84"/>
    </row>
    <row r="16" spans="1:12" ht="23.25" customHeight="1" x14ac:dyDescent="0.25">
      <c r="A16" s="82">
        <v>8</v>
      </c>
      <c r="B16" s="91" t="s">
        <v>12</v>
      </c>
      <c r="C16" s="87"/>
      <c r="D16" s="88"/>
      <c r="E16" s="89"/>
      <c r="F16" s="90"/>
      <c r="G16" s="84"/>
    </row>
    <row r="17" spans="1:12" ht="23.25" customHeight="1" x14ac:dyDescent="0.25">
      <c r="A17" s="82">
        <v>9</v>
      </c>
      <c r="B17" s="91" t="s">
        <v>5</v>
      </c>
      <c r="C17" s="87"/>
      <c r="D17" s="88"/>
      <c r="E17" s="89"/>
      <c r="F17" s="90"/>
      <c r="G17" s="84"/>
    </row>
    <row r="18" spans="1:12" ht="23.25" customHeight="1" x14ac:dyDescent="0.25">
      <c r="A18" s="82">
        <v>10</v>
      </c>
      <c r="B18" s="91" t="s">
        <v>50</v>
      </c>
      <c r="C18" s="87"/>
      <c r="D18" s="88"/>
      <c r="E18" s="89"/>
      <c r="F18" s="90"/>
      <c r="G18" s="84"/>
      <c r="K18" s="106"/>
      <c r="L18" s="106"/>
    </row>
    <row r="19" spans="1:12" ht="23.25" customHeight="1" x14ac:dyDescent="0.25">
      <c r="A19" s="82">
        <v>11</v>
      </c>
      <c r="B19" s="91" t="s">
        <v>3</v>
      </c>
      <c r="C19" s="87"/>
      <c r="D19" s="88"/>
      <c r="E19" s="89"/>
      <c r="F19" s="90"/>
      <c r="G19" s="84"/>
      <c r="K19" s="107"/>
      <c r="L19" s="107"/>
    </row>
    <row r="20" spans="1:12" ht="41.25" customHeight="1" x14ac:dyDescent="0.25">
      <c r="A20" s="92"/>
      <c r="B20" s="93" t="s">
        <v>13</v>
      </c>
      <c r="C20" s="94">
        <f>SUM(C8:C19)</f>
        <v>0</v>
      </c>
      <c r="D20" s="95">
        <f>SUM(D8:D19)</f>
        <v>0</v>
      </c>
      <c r="E20" s="96" t="e">
        <f t="shared" ref="E20" si="0">D20/C20</f>
        <v>#DIV/0!</v>
      </c>
      <c r="F20" s="97"/>
      <c r="G20" s="84"/>
    </row>
    <row r="21" spans="1:12" x14ac:dyDescent="0.25">
      <c r="D21" s="98"/>
    </row>
  </sheetData>
  <mergeCells count="10">
    <mergeCell ref="A1:F1"/>
    <mergeCell ref="A2:F2"/>
    <mergeCell ref="A3:G3"/>
    <mergeCell ref="H3:I3"/>
    <mergeCell ref="A4:A6"/>
    <mergeCell ref="B4:B6"/>
    <mergeCell ref="C4:C6"/>
    <mergeCell ref="D4:D6"/>
    <mergeCell ref="E4:E6"/>
    <mergeCell ref="F4:F6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D6" activePane="bottomRight" state="frozen"/>
      <selection activeCell="C1" sqref="C1"/>
      <selection pane="topRight" activeCell="D1" sqref="D1"/>
      <selection pane="bottomLeft" activeCell="C8" sqref="C8"/>
      <selection pane="bottomRight" activeCell="G15" sqref="G15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14.425781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22.5703125" style="1" customWidth="1"/>
    <col min="14" max="14" width="19.28515625" style="1" customWidth="1"/>
    <col min="15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29" t="s">
        <v>57</v>
      </c>
      <c r="D1" s="329"/>
      <c r="E1" s="329"/>
      <c r="F1" s="329"/>
      <c r="G1" s="329"/>
      <c r="H1" s="329"/>
      <c r="I1" s="329"/>
      <c r="J1" s="45"/>
      <c r="K1" s="58"/>
    </row>
    <row r="2" spans="2:22" ht="22.5" customHeight="1" x14ac:dyDescent="0.3">
      <c r="C2" s="329"/>
      <c r="D2" s="329"/>
      <c r="E2" s="329"/>
      <c r="F2" s="329"/>
      <c r="G2" s="329"/>
      <c r="H2" s="329"/>
      <c r="I2" s="329"/>
      <c r="J2" s="46"/>
      <c r="K2" s="59"/>
    </row>
    <row r="3" spans="2:22" ht="37.5" customHeight="1" x14ac:dyDescent="0.3">
      <c r="C3" s="251"/>
      <c r="D3" s="251"/>
      <c r="E3" s="251"/>
      <c r="F3" s="251"/>
      <c r="G3" s="251"/>
      <c r="H3" s="251"/>
      <c r="I3" s="251"/>
      <c r="J3" s="51"/>
      <c r="K3" s="51"/>
    </row>
    <row r="4" spans="2:22" s="3" customFormat="1" ht="43.9" customHeight="1" x14ac:dyDescent="0.3">
      <c r="B4" s="330" t="s">
        <v>7</v>
      </c>
      <c r="C4" s="330" t="s">
        <v>8</v>
      </c>
      <c r="D4" s="330" t="s">
        <v>9</v>
      </c>
      <c r="E4" s="330" t="s">
        <v>27</v>
      </c>
      <c r="F4" s="330" t="s">
        <v>19</v>
      </c>
      <c r="G4" s="330" t="s">
        <v>21</v>
      </c>
      <c r="H4" s="279" t="s">
        <v>20</v>
      </c>
      <c r="I4" s="279"/>
      <c r="J4" s="52"/>
      <c r="K4" s="52"/>
    </row>
    <row r="5" spans="2:22" s="4" customFormat="1" ht="62.25" customHeight="1" x14ac:dyDescent="0.3">
      <c r="B5" s="331"/>
      <c r="C5" s="331"/>
      <c r="D5" s="331"/>
      <c r="E5" s="331"/>
      <c r="F5" s="331"/>
      <c r="G5" s="331"/>
      <c r="H5" s="279"/>
      <c r="I5" s="279"/>
      <c r="J5" s="52"/>
      <c r="K5" s="52"/>
    </row>
    <row r="6" spans="2:22" s="4" customFormat="1" ht="49.5" customHeight="1" x14ac:dyDescent="0.3">
      <c r="B6" s="332"/>
      <c r="C6" s="332"/>
      <c r="D6" s="332"/>
      <c r="E6" s="332"/>
      <c r="F6" s="332"/>
      <c r="G6" s="332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44">
        <v>1</v>
      </c>
      <c r="C7" s="44">
        <v>2</v>
      </c>
      <c r="D7" s="44"/>
      <c r="E7" s="43">
        <v>3</v>
      </c>
      <c r="F7" s="43">
        <v>4</v>
      </c>
      <c r="G7" s="43">
        <v>5</v>
      </c>
      <c r="H7" s="43">
        <v>6</v>
      </c>
      <c r="I7" s="108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v>110061</v>
      </c>
      <c r="F8" s="38" t="e">
        <f>#REF!</f>
        <v>#REF!</v>
      </c>
      <c r="G8" s="111" t="e">
        <f t="shared" ref="G8:G19" si="0">F8/E8</f>
        <v>#REF!</v>
      </c>
      <c r="H8" s="333" t="e">
        <f>ROUND(K10/L10,2)</f>
        <v>#REF!</v>
      </c>
      <c r="I8" s="333" t="e">
        <f>ROUND(H8*2.9,2)</f>
        <v>#REF!</v>
      </c>
      <c r="J8" s="54" t="e">
        <f>G8*E8</f>
        <v>#REF!</v>
      </c>
      <c r="K8" s="54"/>
      <c r="L8" s="61"/>
      <c r="M8" s="54" t="e">
        <f>$H$8*E8</f>
        <v>#REF!</v>
      </c>
      <c r="N8" s="54" t="e">
        <f>M8-F8</f>
        <v>#REF!</v>
      </c>
      <c r="O8" s="60"/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25</v>
      </c>
      <c r="D9" s="9"/>
      <c r="E9" s="49">
        <v>58585</v>
      </c>
      <c r="F9" s="38" t="e">
        <f>#REF!</f>
        <v>#REF!</v>
      </c>
      <c r="G9" s="111" t="e">
        <f t="shared" ref="G9:G14" si="1">F9/E9</f>
        <v>#REF!</v>
      </c>
      <c r="H9" s="334"/>
      <c r="I9" s="334"/>
      <c r="J9" s="54"/>
      <c r="K9" s="54"/>
      <c r="L9" s="61"/>
      <c r="M9" s="54" t="e">
        <f t="shared" ref="M9:M10" si="2">$H$8*E9</f>
        <v>#REF!</v>
      </c>
      <c r="N9" s="54" t="e">
        <f t="shared" ref="N9:N10" si="3">M9-F9</f>
        <v>#REF!</v>
      </c>
      <c r="O9" s="60"/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3</v>
      </c>
      <c r="D10" s="9">
        <v>9000</v>
      </c>
      <c r="E10" s="49">
        <v>62572</v>
      </c>
      <c r="F10" s="38" t="e">
        <f>#REF!</f>
        <v>#REF!</v>
      </c>
      <c r="G10" s="111" t="e">
        <f t="shared" si="1"/>
        <v>#REF!</v>
      </c>
      <c r="H10" s="335"/>
      <c r="I10" s="335"/>
      <c r="J10" s="54"/>
      <c r="K10" s="136" t="e">
        <f>F10+F9+F8</f>
        <v>#REF!</v>
      </c>
      <c r="L10" s="137">
        <f>E10+E9+E8</f>
        <v>231218</v>
      </c>
      <c r="M10" s="54" t="e">
        <f t="shared" si="2"/>
        <v>#REF!</v>
      </c>
      <c r="N10" s="54" t="e">
        <f t="shared" si="3"/>
        <v>#REF!</v>
      </c>
      <c r="O10" s="60"/>
      <c r="P10" s="60"/>
      <c r="Q10" s="39"/>
      <c r="R10" s="39"/>
      <c r="S10" s="39"/>
      <c r="T10" s="39"/>
      <c r="V10" s="60"/>
    </row>
    <row r="11" spans="2:22" ht="45.75" customHeight="1" x14ac:dyDescent="0.3">
      <c r="B11" s="119"/>
      <c r="C11" s="9" t="s">
        <v>26</v>
      </c>
      <c r="D11" s="9"/>
      <c r="E11" s="49">
        <v>18461</v>
      </c>
      <c r="F11" s="38" t="e">
        <f>#REF!</f>
        <v>#REF!</v>
      </c>
      <c r="G11" s="111" t="e">
        <f t="shared" si="1"/>
        <v>#REF!</v>
      </c>
      <c r="H11" s="333" t="e">
        <f>ROUND(K11/L11,2)</f>
        <v>#REF!</v>
      </c>
      <c r="I11" s="333" t="e">
        <f>ROUND(H11*2.9,2)</f>
        <v>#REF!</v>
      </c>
      <c r="J11" s="54" t="e">
        <f>G11*E11</f>
        <v>#REF!</v>
      </c>
      <c r="K11" s="136" t="e">
        <f>F11+F12</f>
        <v>#REF!</v>
      </c>
      <c r="L11" s="137">
        <f>E11+E12</f>
        <v>181202</v>
      </c>
      <c r="M11" s="54" t="e">
        <f>$H$11*E11</f>
        <v>#REF!</v>
      </c>
      <c r="N11" s="54" t="e">
        <f>M11-F11</f>
        <v>#REF!</v>
      </c>
      <c r="O11" s="60"/>
      <c r="P11" s="60"/>
      <c r="Q11" s="39"/>
      <c r="R11" s="39"/>
      <c r="S11" s="39"/>
      <c r="T11" s="39"/>
      <c r="V11" s="60"/>
    </row>
    <row r="12" spans="2:22" ht="43.9" customHeight="1" x14ac:dyDescent="0.3">
      <c r="B12" s="119"/>
      <c r="C12" s="9" t="s">
        <v>22</v>
      </c>
      <c r="D12" s="119"/>
      <c r="E12" s="114">
        <v>162741</v>
      </c>
      <c r="F12" s="38" t="e">
        <f>#REF!</f>
        <v>#REF!</v>
      </c>
      <c r="G12" s="111" t="e">
        <f t="shared" si="1"/>
        <v>#REF!</v>
      </c>
      <c r="H12" s="335"/>
      <c r="I12" s="335"/>
      <c r="J12" s="54" t="e">
        <f>G12*E12</f>
        <v>#REF!</v>
      </c>
      <c r="K12" s="54"/>
      <c r="L12" s="61"/>
      <c r="M12" s="54" t="e">
        <f>$H$11*E12</f>
        <v>#REF!</v>
      </c>
      <c r="N12" s="54" t="e">
        <f t="shared" ref="N12:N19" si="4">M12-F12</f>
        <v>#REF!</v>
      </c>
      <c r="O12" s="60"/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1</v>
      </c>
      <c r="D13" s="9">
        <v>7000</v>
      </c>
      <c r="E13" s="49">
        <v>52985</v>
      </c>
      <c r="F13" s="38" t="e">
        <f>#REF!</f>
        <v>#REF!</v>
      </c>
      <c r="G13" s="111" t="e">
        <f t="shared" si="1"/>
        <v>#REF!</v>
      </c>
      <c r="H13" s="333" t="e">
        <f>ROUND(K14/L14,2)</f>
        <v>#REF!</v>
      </c>
      <c r="I13" s="333" t="e">
        <f>ROUND(H13*2.9,2)</f>
        <v>#REF!</v>
      </c>
      <c r="J13" s="54" t="e">
        <f t="shared" ref="J13:J14" si="5">G13*E13</f>
        <v>#REF!</v>
      </c>
      <c r="K13" s="54"/>
      <c r="L13" s="61"/>
      <c r="M13" s="54" t="e">
        <f>$H$13*E13</f>
        <v>#REF!</v>
      </c>
      <c r="N13" s="54" t="e">
        <f t="shared" si="4"/>
        <v>#REF!</v>
      </c>
      <c r="O13" s="60"/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12</v>
      </c>
      <c r="D14" s="9">
        <v>14000</v>
      </c>
      <c r="E14" s="49">
        <v>48246</v>
      </c>
      <c r="F14" s="38" t="e">
        <f>#REF!</f>
        <v>#REF!</v>
      </c>
      <c r="G14" s="111" t="e">
        <f t="shared" si="1"/>
        <v>#REF!</v>
      </c>
      <c r="H14" s="334"/>
      <c r="I14" s="334"/>
      <c r="J14" s="54" t="e">
        <f t="shared" si="5"/>
        <v>#REF!</v>
      </c>
      <c r="K14" s="136" t="e">
        <f>F14+F13+F15</f>
        <v>#REF!</v>
      </c>
      <c r="L14" s="137">
        <f>E14+E13+E15</f>
        <v>175965</v>
      </c>
      <c r="M14" s="54" t="e">
        <f>$H$13*E14</f>
        <v>#REF!</v>
      </c>
      <c r="N14" s="54" t="e">
        <f t="shared" si="4"/>
        <v>#REF!</v>
      </c>
      <c r="O14" s="60"/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24</v>
      </c>
      <c r="D15" s="9"/>
      <c r="E15" s="49">
        <v>74734</v>
      </c>
      <c r="F15" s="38" t="e">
        <f>#REF!</f>
        <v>#REF!</v>
      </c>
      <c r="G15" s="111" t="e">
        <f>F15/E15</f>
        <v>#REF!</v>
      </c>
      <c r="H15" s="335"/>
      <c r="I15" s="335"/>
      <c r="J15" s="54" t="e">
        <f>G15*E15</f>
        <v>#REF!</v>
      </c>
      <c r="K15" s="54"/>
      <c r="L15" s="61"/>
      <c r="M15" s="54" t="e">
        <f>$H$13*E15</f>
        <v>#REF!</v>
      </c>
      <c r="N15" s="54" t="e">
        <f>M15-F15</f>
        <v>#REF!</v>
      </c>
      <c r="O15" s="60"/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4</v>
      </c>
      <c r="D16" s="9">
        <v>13300</v>
      </c>
      <c r="E16" s="49">
        <v>14187</v>
      </c>
      <c r="F16" s="38" t="e">
        <f>#REF!</f>
        <v>#REF!</v>
      </c>
      <c r="G16" s="111" t="e">
        <f t="shared" si="0"/>
        <v>#REF!</v>
      </c>
      <c r="H16" s="333" t="e">
        <f>ROUND(K19/L19,2)</f>
        <v>#REF!</v>
      </c>
      <c r="I16" s="333" t="e">
        <f>ROUND(H16*2.9,2)</f>
        <v>#REF!</v>
      </c>
      <c r="J16" s="54" t="e">
        <f t="shared" ref="J16:J19" si="6">G16*E16</f>
        <v>#REF!</v>
      </c>
      <c r="K16" s="54"/>
      <c r="L16" s="61"/>
      <c r="M16" s="54" t="e">
        <f>$H$16*E16</f>
        <v>#REF!</v>
      </c>
      <c r="N16" s="54" t="e">
        <f t="shared" si="4"/>
        <v>#REF!</v>
      </c>
      <c r="O16" s="60"/>
      <c r="P16" s="60"/>
      <c r="Q16" s="39"/>
      <c r="R16" s="39"/>
      <c r="S16" s="53"/>
      <c r="T16" s="39"/>
      <c r="V16" s="60"/>
    </row>
    <row r="17" spans="1:22" ht="32.25" customHeight="1" x14ac:dyDescent="0.3">
      <c r="B17" s="119"/>
      <c r="C17" s="9" t="s">
        <v>50</v>
      </c>
      <c r="D17" s="9">
        <v>20230</v>
      </c>
      <c r="E17" s="49">
        <v>35289</v>
      </c>
      <c r="F17" s="38" t="e">
        <f>#REF!</f>
        <v>#REF!</v>
      </c>
      <c r="G17" s="111" t="e">
        <f>F17/E17</f>
        <v>#REF!</v>
      </c>
      <c r="H17" s="334"/>
      <c r="I17" s="334"/>
      <c r="J17" s="54" t="e">
        <f t="shared" ref="J17" si="7">G17*E17</f>
        <v>#REF!</v>
      </c>
      <c r="K17" s="54"/>
      <c r="L17" s="61"/>
      <c r="M17" s="54" t="e">
        <f t="shared" ref="M17:M19" si="8">$H$16*E17</f>
        <v>#REF!</v>
      </c>
      <c r="N17" s="54" t="e">
        <f t="shared" ref="N17" si="9">M17-F17</f>
        <v>#REF!</v>
      </c>
      <c r="O17" s="60"/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v>23081</v>
      </c>
      <c r="F18" s="38" t="e">
        <f>#REF!</f>
        <v>#REF!</v>
      </c>
      <c r="G18" s="111" t="e">
        <f t="shared" si="0"/>
        <v>#REF!</v>
      </c>
      <c r="H18" s="334"/>
      <c r="I18" s="334"/>
      <c r="J18" s="54" t="e">
        <f t="shared" si="6"/>
        <v>#REF!</v>
      </c>
      <c r="K18" s="54"/>
      <c r="L18" s="61"/>
      <c r="M18" s="54" t="e">
        <f t="shared" si="8"/>
        <v>#REF!</v>
      </c>
      <c r="N18" s="54" t="e">
        <f t="shared" si="4"/>
        <v>#REF!</v>
      </c>
      <c r="O18" s="60"/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09"/>
      <c r="C19" s="9" t="s">
        <v>5</v>
      </c>
      <c r="D19" s="9">
        <v>6000</v>
      </c>
      <c r="E19" s="49">
        <v>20821</v>
      </c>
      <c r="F19" s="38" t="e">
        <f>#REF!</f>
        <v>#REF!</v>
      </c>
      <c r="G19" s="111" t="e">
        <f t="shared" si="0"/>
        <v>#REF!</v>
      </c>
      <c r="H19" s="335"/>
      <c r="I19" s="335"/>
      <c r="J19" s="54" t="e">
        <f t="shared" si="6"/>
        <v>#REF!</v>
      </c>
      <c r="K19" s="136" t="e">
        <f>SUM(J16:J19)</f>
        <v>#REF!</v>
      </c>
      <c r="L19" s="137">
        <f>SUM(E16:E19)</f>
        <v>93378</v>
      </c>
      <c r="M19" s="54" t="e">
        <f t="shared" si="8"/>
        <v>#REF!</v>
      </c>
      <c r="N19" s="54" t="e">
        <f t="shared" si="4"/>
        <v>#REF!</v>
      </c>
      <c r="O19" s="60"/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681763</v>
      </c>
      <c r="F20" s="19" t="e">
        <f>SUM(F8:F19)</f>
        <v>#REF!</v>
      </c>
      <c r="G20" s="13"/>
      <c r="H20" s="13"/>
      <c r="I20" s="13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>
        <v>681263</v>
      </c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>
        <f>E21-E20</f>
        <v>-500</v>
      </c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47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C1:I3"/>
    <mergeCell ref="G4:G6"/>
    <mergeCell ref="H4:I5"/>
    <mergeCell ref="H11:H12"/>
    <mergeCell ref="I11:I12"/>
    <mergeCell ref="H8:H10"/>
    <mergeCell ref="H13:H15"/>
    <mergeCell ref="I13:I15"/>
    <mergeCell ref="H16:H19"/>
    <mergeCell ref="I16:I19"/>
    <mergeCell ref="I8:I10"/>
    <mergeCell ref="B4:B6"/>
    <mergeCell ref="C4:C6"/>
    <mergeCell ref="D4:D6"/>
    <mergeCell ref="E4:E6"/>
    <mergeCell ref="F4:F6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H16" sqref="H16:H19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29" t="s">
        <v>45</v>
      </c>
      <c r="D1" s="329"/>
      <c r="E1" s="329"/>
      <c r="F1" s="329"/>
      <c r="G1" s="329"/>
      <c r="H1" s="329"/>
      <c r="I1" s="329"/>
      <c r="J1" s="115"/>
      <c r="K1" s="115"/>
    </row>
    <row r="2" spans="2:22" ht="22.5" customHeight="1" x14ac:dyDescent="0.3">
      <c r="C2" s="329"/>
      <c r="D2" s="329"/>
      <c r="E2" s="329"/>
      <c r="F2" s="329"/>
      <c r="G2" s="329"/>
      <c r="H2" s="329"/>
      <c r="I2" s="329"/>
      <c r="J2" s="116"/>
      <c r="K2" s="116"/>
    </row>
    <row r="3" spans="2:22" ht="37.5" customHeight="1" x14ac:dyDescent="0.3">
      <c r="C3" s="251"/>
      <c r="D3" s="251"/>
      <c r="E3" s="251"/>
      <c r="F3" s="251"/>
      <c r="G3" s="251"/>
      <c r="H3" s="251"/>
      <c r="I3" s="251"/>
      <c r="J3" s="122"/>
      <c r="K3" s="122"/>
    </row>
    <row r="4" spans="2:22" s="3" customFormat="1" ht="43.9" customHeight="1" x14ac:dyDescent="0.3">
      <c r="B4" s="330" t="s">
        <v>7</v>
      </c>
      <c r="C4" s="330" t="s">
        <v>8</v>
      </c>
      <c r="D4" s="330" t="s">
        <v>9</v>
      </c>
      <c r="E4" s="330" t="s">
        <v>27</v>
      </c>
      <c r="F4" s="330" t="s">
        <v>19</v>
      </c>
      <c r="G4" s="330" t="s">
        <v>21</v>
      </c>
      <c r="H4" s="279" t="s">
        <v>20</v>
      </c>
      <c r="I4" s="279"/>
      <c r="J4" s="52"/>
      <c r="K4" s="52"/>
    </row>
    <row r="5" spans="2:22" s="4" customFormat="1" ht="62.25" customHeight="1" x14ac:dyDescent="0.3">
      <c r="B5" s="331"/>
      <c r="C5" s="331"/>
      <c r="D5" s="331"/>
      <c r="E5" s="331"/>
      <c r="F5" s="331"/>
      <c r="G5" s="331"/>
      <c r="H5" s="279"/>
      <c r="I5" s="279"/>
      <c r="J5" s="52"/>
      <c r="K5" s="52"/>
    </row>
    <row r="6" spans="2:22" s="4" customFormat="1" ht="49.5" customHeight="1" x14ac:dyDescent="0.3">
      <c r="B6" s="332"/>
      <c r="C6" s="332"/>
      <c r="D6" s="332"/>
      <c r="E6" s="332"/>
      <c r="F6" s="332"/>
      <c r="G6" s="332"/>
      <c r="H6" s="110" t="s">
        <v>46</v>
      </c>
      <c r="I6" s="110" t="s">
        <v>47</v>
      </c>
      <c r="J6" s="52"/>
      <c r="K6" s="52"/>
    </row>
    <row r="7" spans="2:22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22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:G19" si="0">F8/E8</f>
        <v>#REF!</v>
      </c>
      <c r="H8" s="337" t="e">
        <f>K15/L15</f>
        <v>#REF!</v>
      </c>
      <c r="I8" s="333" t="e">
        <f>ROUND(H8*2.9,2)</f>
        <v>#REF!</v>
      </c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  <c r="P8" s="127">
        <f>E8*1.437</f>
        <v>0</v>
      </c>
    </row>
    <row r="9" spans="2:22" s="5" customFormat="1" ht="44.25" customHeight="1" x14ac:dyDescent="0.3">
      <c r="B9" s="119">
        <v>5</v>
      </c>
      <c r="C9" s="9" t="s">
        <v>2</v>
      </c>
      <c r="D9" s="9">
        <v>20230</v>
      </c>
      <c r="E9" s="49">
        <f>'Коэф плотности населения'!D18</f>
        <v>0</v>
      </c>
      <c r="F9" s="38" t="e">
        <f>'АМП 2017 (терапевты)  (без пло)'!O9</f>
        <v>#REF!</v>
      </c>
      <c r="G9" s="111" t="e">
        <f t="shared" ref="G9:G15" si="1">F9/E9</f>
        <v>#REF!</v>
      </c>
      <c r="H9" s="338"/>
      <c r="I9" s="334"/>
      <c r="J9" s="52" t="e">
        <f t="shared" ref="J9:J20" si="2">E9*G9</f>
        <v>#REF!</v>
      </c>
      <c r="K9" s="52"/>
      <c r="N9" s="5" t="e">
        <f t="shared" ref="N9:N15" si="3">E9*$H$8</f>
        <v>#REF!</v>
      </c>
      <c r="O9" s="126" t="e">
        <f t="shared" ref="O9:O19" si="4">N9-F9</f>
        <v>#REF!</v>
      </c>
      <c r="P9" s="127">
        <f t="shared" ref="P9:P15" si="5">E9*1.437</f>
        <v>0</v>
      </c>
    </row>
    <row r="10" spans="2:22" s="5" customFormat="1" ht="44.25" customHeight="1" x14ac:dyDescent="0.3">
      <c r="B10" s="119">
        <v>6</v>
      </c>
      <c r="C10" s="9" t="s">
        <v>1</v>
      </c>
      <c r="D10" s="9">
        <v>7000</v>
      </c>
      <c r="E10" s="49">
        <f>'Коэф плотности населения'!D13</f>
        <v>0</v>
      </c>
      <c r="F10" s="38" t="e">
        <f>'АМП 2017 (терапевты)  (без пло)'!O10</f>
        <v>#REF!</v>
      </c>
      <c r="G10" s="111" t="e">
        <f t="shared" si="1"/>
        <v>#REF!</v>
      </c>
      <c r="H10" s="338"/>
      <c r="I10" s="334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  <c r="P10" s="127">
        <f t="shared" si="5"/>
        <v>0</v>
      </c>
    </row>
    <row r="11" spans="2:22" s="5" customFormat="1" ht="44.25" customHeight="1" x14ac:dyDescent="0.3">
      <c r="B11" s="119">
        <v>7</v>
      </c>
      <c r="C11" s="9" t="s">
        <v>4</v>
      </c>
      <c r="D11" s="9">
        <v>13300</v>
      </c>
      <c r="E11" s="49">
        <f>'Коэф плотности населения'!D15</f>
        <v>0</v>
      </c>
      <c r="F11" s="38" t="e">
        <f>'АМП 2017 (терапевты)  (без пло)'!O11</f>
        <v>#REF!</v>
      </c>
      <c r="G11" s="111" t="e">
        <f t="shared" si="1"/>
        <v>#REF!</v>
      </c>
      <c r="H11" s="338"/>
      <c r="I11" s="334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  <c r="P11" s="127">
        <f t="shared" si="5"/>
        <v>0</v>
      </c>
    </row>
    <row r="12" spans="2:22" s="5" customFormat="1" ht="44.25" customHeight="1" x14ac:dyDescent="0.3">
      <c r="B12" s="119">
        <v>8</v>
      </c>
      <c r="C12" s="9" t="s">
        <v>3</v>
      </c>
      <c r="D12" s="9">
        <v>9000</v>
      </c>
      <c r="E12" s="49">
        <f>'Коэф плотности населения'!D19</f>
        <v>0</v>
      </c>
      <c r="F12" s="38" t="e">
        <f>'АМП 2017 (терапевты)  (без пло)'!O12</f>
        <v>#REF!</v>
      </c>
      <c r="G12" s="111" t="e">
        <f t="shared" si="1"/>
        <v>#REF!</v>
      </c>
      <c r="H12" s="338"/>
      <c r="I12" s="334"/>
      <c r="J12" s="52" t="e">
        <f t="shared" si="2"/>
        <v>#REF!</v>
      </c>
      <c r="K12" s="52"/>
      <c r="N12" s="5" t="e">
        <f t="shared" si="3"/>
        <v>#REF!</v>
      </c>
      <c r="O12" s="126" t="e">
        <f t="shared" si="4"/>
        <v>#REF!</v>
      </c>
      <c r="P12" s="127">
        <f t="shared" si="5"/>
        <v>0</v>
      </c>
    </row>
    <row r="13" spans="2:22" s="5" customFormat="1" ht="44.25" customHeight="1" x14ac:dyDescent="0.3">
      <c r="B13" s="119">
        <v>9</v>
      </c>
      <c r="C13" s="9" t="s">
        <v>6</v>
      </c>
      <c r="D13" s="9">
        <v>5000</v>
      </c>
      <c r="E13" s="49">
        <f>'Коэф плотности населения'!D14</f>
        <v>0</v>
      </c>
      <c r="F13" s="38" t="e">
        <f>'АМП 2017 (терапевты)  (без пло)'!O13</f>
        <v>#REF!</v>
      </c>
      <c r="G13" s="111" t="e">
        <f t="shared" si="1"/>
        <v>#REF!</v>
      </c>
      <c r="H13" s="338"/>
      <c r="I13" s="334"/>
      <c r="J13" s="52" t="e">
        <f t="shared" si="2"/>
        <v>#REF!</v>
      </c>
      <c r="K13" s="52"/>
      <c r="N13" s="5" t="e">
        <f t="shared" si="3"/>
        <v>#REF!</v>
      </c>
      <c r="O13" s="126" t="e">
        <f t="shared" si="4"/>
        <v>#REF!</v>
      </c>
      <c r="P13" s="127">
        <f t="shared" si="5"/>
        <v>0</v>
      </c>
    </row>
    <row r="14" spans="2:22" s="5" customFormat="1" ht="44.25" customHeight="1" x14ac:dyDescent="0.3">
      <c r="B14" s="119">
        <v>11</v>
      </c>
      <c r="C14" s="9" t="s">
        <v>12</v>
      </c>
      <c r="D14" s="9">
        <v>14000</v>
      </c>
      <c r="E14" s="49">
        <f>'Коэф плотности населения'!D16</f>
        <v>0</v>
      </c>
      <c r="F14" s="38" t="e">
        <f>'АМП 2017 (терапевты)  (без пло)'!O14</f>
        <v>#REF!</v>
      </c>
      <c r="G14" s="111" t="e">
        <f t="shared" si="1"/>
        <v>#REF!</v>
      </c>
      <c r="H14" s="338"/>
      <c r="I14" s="334"/>
      <c r="J14" s="52" t="e">
        <f t="shared" si="2"/>
        <v>#REF!</v>
      </c>
      <c r="K14" s="52"/>
      <c r="N14" s="5" t="e">
        <f t="shared" si="3"/>
        <v>#REF!</v>
      </c>
      <c r="O14" s="126" t="e">
        <f t="shared" si="4"/>
        <v>#REF!</v>
      </c>
      <c r="P14" s="127">
        <f t="shared" si="5"/>
        <v>0</v>
      </c>
    </row>
    <row r="15" spans="2:22" s="5" customFormat="1" ht="44.25" customHeight="1" x14ac:dyDescent="0.3">
      <c r="B15" s="119">
        <v>11</v>
      </c>
      <c r="C15" s="9" t="s">
        <v>5</v>
      </c>
      <c r="D15" s="9">
        <v>6000</v>
      </c>
      <c r="E15" s="49">
        <f>'Коэф плотности населения'!D17</f>
        <v>0</v>
      </c>
      <c r="F15" s="38" t="e">
        <f>'АМП 2017 (терапевты)  (без пло)'!O15</f>
        <v>#REF!</v>
      </c>
      <c r="G15" s="111" t="e">
        <f t="shared" si="1"/>
        <v>#REF!</v>
      </c>
      <c r="H15" s="339"/>
      <c r="I15" s="335"/>
      <c r="J15" s="52" t="e">
        <f t="shared" si="2"/>
        <v>#REF!</v>
      </c>
      <c r="K15" s="52" t="e">
        <f>SUM(J8:J15)</f>
        <v>#REF!</v>
      </c>
      <c r="L15" s="125">
        <f>SUM(E8:E15)</f>
        <v>0</v>
      </c>
      <c r="N15" s="5" t="e">
        <f t="shared" si="3"/>
        <v>#REF!</v>
      </c>
      <c r="O15" s="126" t="e">
        <f t="shared" si="4"/>
        <v>#REF!</v>
      </c>
      <c r="P15" s="127">
        <f t="shared" si="5"/>
        <v>0</v>
      </c>
    </row>
    <row r="16" spans="2:22" ht="43.9" customHeight="1" x14ac:dyDescent="0.3">
      <c r="B16" s="119">
        <v>2</v>
      </c>
      <c r="C16" s="9" t="s">
        <v>23</v>
      </c>
      <c r="D16" s="9"/>
      <c r="E16" s="49">
        <f>'Коэф плотности населения'!D9</f>
        <v>0</v>
      </c>
      <c r="F16" s="38" t="e">
        <f>'АМП 2017 (терапевты)  (без пло)'!O16</f>
        <v>#REF!</v>
      </c>
      <c r="G16" s="111" t="e">
        <f t="shared" si="0"/>
        <v>#REF!</v>
      </c>
      <c r="H16" s="333" t="e">
        <f>K19/L19</f>
        <v>#REF!</v>
      </c>
      <c r="I16" s="333" t="e">
        <f>ROUND(H16*2.9,2)</f>
        <v>#REF!</v>
      </c>
      <c r="J16" s="52" t="e">
        <f t="shared" si="2"/>
        <v>#REF!</v>
      </c>
      <c r="K16" s="54"/>
      <c r="L16" s="61"/>
      <c r="M16" s="61"/>
      <c r="N16" s="5" t="e">
        <f>E16*$H$16</f>
        <v>#REF!</v>
      </c>
      <c r="O16" s="126" t="e">
        <f t="shared" si="4"/>
        <v>#REF!</v>
      </c>
      <c r="P16" s="127">
        <f>E16*0.607</f>
        <v>0</v>
      </c>
      <c r="Q16" s="39"/>
      <c r="R16" s="39"/>
      <c r="S16" s="39"/>
      <c r="T16" s="39"/>
      <c r="V16" s="60"/>
    </row>
    <row r="17" spans="1:22" ht="43.9" customHeight="1" x14ac:dyDescent="0.3">
      <c r="B17" s="119">
        <v>3</v>
      </c>
      <c r="C17" s="9" t="s">
        <v>24</v>
      </c>
      <c r="D17" s="9"/>
      <c r="E17" s="49">
        <f>'Коэф плотности населения'!D10</f>
        <v>0</v>
      </c>
      <c r="F17" s="38" t="e">
        <f>'АМП 2017 (терапевты)  (без пло)'!O17</f>
        <v>#REF!</v>
      </c>
      <c r="G17" s="111" t="e">
        <f t="shared" si="0"/>
        <v>#REF!</v>
      </c>
      <c r="H17" s="334"/>
      <c r="I17" s="334"/>
      <c r="J17" s="52" t="e">
        <f t="shared" si="2"/>
        <v>#REF!</v>
      </c>
      <c r="K17" s="54"/>
      <c r="L17" s="61"/>
      <c r="M17" s="61"/>
      <c r="N17" s="5" t="e">
        <f t="shared" ref="N17:N19" si="6">E17*$H$16</f>
        <v>#REF!</v>
      </c>
      <c r="O17" s="126" t="e">
        <f t="shared" si="4"/>
        <v>#REF!</v>
      </c>
      <c r="P17" s="127">
        <f t="shared" ref="P17:P19" si="7">E17*0.607</f>
        <v>0</v>
      </c>
      <c r="Q17" s="39"/>
      <c r="R17" s="39"/>
      <c r="S17" s="39"/>
      <c r="T17" s="39"/>
      <c r="V17" s="60"/>
    </row>
    <row r="18" spans="1:22" ht="43.9" customHeight="1" x14ac:dyDescent="0.3">
      <c r="B18" s="119">
        <v>4</v>
      </c>
      <c r="C18" s="9" t="s">
        <v>25</v>
      </c>
      <c r="D18" s="9"/>
      <c r="E18" s="49">
        <f>'Коэф плотности населения'!D11</f>
        <v>0</v>
      </c>
      <c r="F18" s="38" t="e">
        <f>'АМП 2017 (терапевты)  (без пло)'!O18</f>
        <v>#REF!</v>
      </c>
      <c r="G18" s="111" t="e">
        <f t="shared" si="0"/>
        <v>#REF!</v>
      </c>
      <c r="H18" s="334"/>
      <c r="I18" s="334"/>
      <c r="J18" s="52" t="e">
        <f t="shared" si="2"/>
        <v>#REF!</v>
      </c>
      <c r="K18" s="54"/>
      <c r="L18" s="61"/>
      <c r="M18" s="61"/>
      <c r="N18" s="5" t="e">
        <f t="shared" si="6"/>
        <v>#REF!</v>
      </c>
      <c r="O18" s="126" t="e">
        <f t="shared" si="4"/>
        <v>#REF!</v>
      </c>
      <c r="P18" s="127">
        <f t="shared" si="7"/>
        <v>0</v>
      </c>
      <c r="Q18" s="39"/>
      <c r="R18" s="39"/>
      <c r="S18" s="39"/>
      <c r="T18" s="39"/>
      <c r="V18" s="60"/>
    </row>
    <row r="19" spans="1:22" ht="42.75" customHeight="1" x14ac:dyDescent="0.3">
      <c r="A19" s="1">
        <v>1340004</v>
      </c>
      <c r="B19" s="119">
        <v>10</v>
      </c>
      <c r="C19" s="9" t="s">
        <v>26</v>
      </c>
      <c r="D19" s="9"/>
      <c r="E19" s="49">
        <f>'Коэф плотности населения'!D12</f>
        <v>0</v>
      </c>
      <c r="F19" s="38" t="e">
        <f>'АМП 2017 (терапевты)  (без пло)'!O19</f>
        <v>#REF!</v>
      </c>
      <c r="G19" s="111" t="e">
        <f t="shared" si="0"/>
        <v>#REF!</v>
      </c>
      <c r="H19" s="335"/>
      <c r="I19" s="335"/>
      <c r="J19" s="52" t="e">
        <f t="shared" si="2"/>
        <v>#REF!</v>
      </c>
      <c r="K19" s="54" t="e">
        <f>SUM(J16:J19)</f>
        <v>#REF!</v>
      </c>
      <c r="L19" s="61">
        <f>SUM(E16:E19)</f>
        <v>0</v>
      </c>
      <c r="M19" s="61"/>
      <c r="N19" s="5" t="e">
        <f t="shared" si="6"/>
        <v>#REF!</v>
      </c>
      <c r="O19" s="126" t="e">
        <f t="shared" si="4"/>
        <v>#REF!</v>
      </c>
      <c r="P19" s="127">
        <f t="shared" si="7"/>
        <v>0</v>
      </c>
      <c r="Q19" s="39"/>
      <c r="R19" s="39"/>
      <c r="S19" s="39"/>
      <c r="T19" s="39"/>
      <c r="V19" s="60"/>
    </row>
    <row r="20" spans="1:22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si="2"/>
        <v>0</v>
      </c>
      <c r="K20" s="36"/>
      <c r="N20" s="61"/>
      <c r="O20" s="60"/>
      <c r="P20" s="128">
        <f>SUM(P8:P19)</f>
        <v>0</v>
      </c>
      <c r="Q20" s="1"/>
    </row>
    <row r="21" spans="1:22" ht="42.75" customHeight="1" x14ac:dyDescent="0.3">
      <c r="B21" s="21"/>
      <c r="C21" s="21"/>
      <c r="D21" s="21"/>
      <c r="E21" s="55"/>
      <c r="F21" s="23" t="e">
        <f>F20/E20</f>
        <v>#REF!</v>
      </c>
      <c r="G21" s="14"/>
      <c r="H21" s="14" t="e">
        <f>H8/H16</f>
        <v>#REF!</v>
      </c>
      <c r="I21" s="14"/>
      <c r="J21" s="14"/>
      <c r="K21" s="14"/>
      <c r="P21" s="129" t="e">
        <f>P20/E20</f>
        <v>#DIV/0!</v>
      </c>
    </row>
    <row r="22" spans="1:22" ht="18.75" customHeight="1" x14ac:dyDescent="0.3">
      <c r="B22" s="26"/>
      <c r="C22" s="26"/>
      <c r="D22" s="26"/>
      <c r="E22" s="62"/>
      <c r="G22" s="42"/>
      <c r="P22" s="130" t="e">
        <f>F20/(E20*P21)</f>
        <v>#REF!</v>
      </c>
    </row>
    <row r="23" spans="1:22" ht="33" customHeight="1" x14ac:dyDescent="0.3">
      <c r="B23" s="26"/>
      <c r="C23" s="26"/>
      <c r="D23" s="26"/>
      <c r="E23" s="62"/>
      <c r="P23" s="130" t="e">
        <f>P22*'АМП 2017 (терапевты)  (без пло)'!J8</f>
        <v>#REF!</v>
      </c>
    </row>
    <row r="24" spans="1:22" ht="24" customHeight="1" x14ac:dyDescent="0.3">
      <c r="B24" s="26"/>
      <c r="C24" s="26"/>
      <c r="D24" s="26"/>
      <c r="E24" s="29"/>
      <c r="P24" s="130" t="e">
        <f>P22*'АМП 2017 (терапевты)  (без пло)'!J16</f>
        <v>#REF!</v>
      </c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2">
    <mergeCell ref="H8:H15"/>
    <mergeCell ref="I8:I15"/>
    <mergeCell ref="H16:H19"/>
    <mergeCell ref="I16:I19"/>
    <mergeCell ref="C1:I3"/>
    <mergeCell ref="G4:G6"/>
    <mergeCell ref="H4:I5"/>
    <mergeCell ref="B4:B6"/>
    <mergeCell ref="C4:C6"/>
    <mergeCell ref="D4:D6"/>
    <mergeCell ref="E4:E6"/>
    <mergeCell ref="F4:F6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41"/>
  <sheetViews>
    <sheetView view="pageBreakPreview" zoomScale="70" zoomScaleNormal="53" zoomScaleSheetLayoutView="70" workbookViewId="0">
      <pane xSplit="3" ySplit="5" topLeftCell="E7" activePane="bottomRight" state="frozen"/>
      <selection activeCell="C1" sqref="C1"/>
      <selection pane="topRight" activeCell="D1" sqref="D1"/>
      <selection pane="bottomLeft" activeCell="C8" sqref="C8"/>
      <selection pane="bottomRight" activeCell="N14" sqref="N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15" ht="18" customHeight="1" x14ac:dyDescent="0.3">
      <c r="C1" s="329" t="s">
        <v>45</v>
      </c>
      <c r="D1" s="329"/>
      <c r="E1" s="329"/>
      <c r="F1" s="329"/>
      <c r="G1" s="329"/>
      <c r="H1" s="329"/>
      <c r="I1" s="329"/>
      <c r="J1" s="115"/>
      <c r="K1" s="115"/>
    </row>
    <row r="2" spans="2:15" ht="22.5" customHeight="1" x14ac:dyDescent="0.3">
      <c r="C2" s="329"/>
      <c r="D2" s="329"/>
      <c r="E2" s="329"/>
      <c r="F2" s="329"/>
      <c r="G2" s="329"/>
      <c r="H2" s="329"/>
      <c r="I2" s="329"/>
      <c r="J2" s="116"/>
      <c r="K2" s="116"/>
    </row>
    <row r="3" spans="2:15" ht="37.5" customHeight="1" x14ac:dyDescent="0.3">
      <c r="C3" s="251"/>
      <c r="D3" s="251"/>
      <c r="E3" s="251"/>
      <c r="F3" s="251"/>
      <c r="G3" s="251"/>
      <c r="H3" s="251"/>
      <c r="I3" s="251"/>
      <c r="J3" s="122"/>
      <c r="K3" s="122"/>
    </row>
    <row r="4" spans="2:15" s="3" customFormat="1" ht="43.9" customHeight="1" x14ac:dyDescent="0.3">
      <c r="B4" s="330" t="s">
        <v>7</v>
      </c>
      <c r="C4" s="330" t="s">
        <v>8</v>
      </c>
      <c r="D4" s="330" t="s">
        <v>9</v>
      </c>
      <c r="E4" s="330" t="s">
        <v>27</v>
      </c>
      <c r="F4" s="330" t="s">
        <v>19</v>
      </c>
      <c r="G4" s="330" t="s">
        <v>21</v>
      </c>
      <c r="H4" s="279" t="s">
        <v>20</v>
      </c>
      <c r="I4" s="279"/>
      <c r="J4" s="52"/>
      <c r="K4" s="52"/>
    </row>
    <row r="5" spans="2:15" s="4" customFormat="1" ht="62.25" customHeight="1" x14ac:dyDescent="0.3">
      <c r="B5" s="331"/>
      <c r="C5" s="331"/>
      <c r="D5" s="331"/>
      <c r="E5" s="331"/>
      <c r="F5" s="331"/>
      <c r="G5" s="331"/>
      <c r="H5" s="279"/>
      <c r="I5" s="279"/>
      <c r="J5" s="52"/>
      <c r="K5" s="52"/>
    </row>
    <row r="6" spans="2:15" s="4" customFormat="1" ht="49.5" customHeight="1" x14ac:dyDescent="0.3">
      <c r="B6" s="332"/>
      <c r="C6" s="332"/>
      <c r="D6" s="332"/>
      <c r="E6" s="332"/>
      <c r="F6" s="332"/>
      <c r="G6" s="332"/>
      <c r="H6" s="110" t="s">
        <v>46</v>
      </c>
      <c r="I6" s="110" t="s">
        <v>47</v>
      </c>
      <c r="J6" s="52"/>
      <c r="K6" s="52"/>
    </row>
    <row r="7" spans="2:15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15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" si="0">F8/E8</f>
        <v>#REF!</v>
      </c>
      <c r="H8" s="340" t="e">
        <f>K12/L12</f>
        <v>#REF!</v>
      </c>
      <c r="I8" s="336"/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</row>
    <row r="9" spans="2:15" s="5" customFormat="1" ht="44.25" customHeight="1" x14ac:dyDescent="0.3">
      <c r="B9" s="119">
        <v>2</v>
      </c>
      <c r="C9" s="9" t="s">
        <v>23</v>
      </c>
      <c r="D9" s="9"/>
      <c r="E9" s="49">
        <f>'Коэф плотности населения'!D9</f>
        <v>0</v>
      </c>
      <c r="F9" s="38" t="e">
        <f>'АМП 2017 (терапевты)  (без пло)'!O16</f>
        <v>#REF!</v>
      </c>
      <c r="G9" s="111" t="e">
        <f t="shared" ref="G9:G19" si="1">F9/E9</f>
        <v>#REF!</v>
      </c>
      <c r="H9" s="340"/>
      <c r="I9" s="336"/>
      <c r="J9" s="52" t="e">
        <f t="shared" ref="J9:J19" si="2">E9*G9</f>
        <v>#REF!</v>
      </c>
      <c r="K9" s="52"/>
      <c r="N9" s="5" t="e">
        <f t="shared" ref="N9:N12" si="3">E9*$H$8</f>
        <v>#REF!</v>
      </c>
      <c r="O9" s="126" t="e">
        <f t="shared" ref="O9:O15" si="4">N9-F9</f>
        <v>#REF!</v>
      </c>
    </row>
    <row r="10" spans="2:15" s="5" customFormat="1" ht="44.25" customHeight="1" x14ac:dyDescent="0.3">
      <c r="B10" s="119">
        <v>3</v>
      </c>
      <c r="C10" s="9" t="s">
        <v>24</v>
      </c>
      <c r="D10" s="9"/>
      <c r="E10" s="49">
        <f>'Коэф плотности населения'!D10</f>
        <v>0</v>
      </c>
      <c r="F10" s="38" t="e">
        <f>'АМП 2017 (терапевты)  (без пло)'!O17</f>
        <v>#REF!</v>
      </c>
      <c r="G10" s="111" t="e">
        <f t="shared" si="1"/>
        <v>#REF!</v>
      </c>
      <c r="H10" s="340"/>
      <c r="I10" s="336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</row>
    <row r="11" spans="2:15" s="5" customFormat="1" ht="44.25" customHeight="1" x14ac:dyDescent="0.3">
      <c r="B11" s="119">
        <v>4</v>
      </c>
      <c r="C11" s="9" t="s">
        <v>25</v>
      </c>
      <c r="D11" s="9"/>
      <c r="E11" s="49">
        <f>'Коэф плотности населения'!D11</f>
        <v>0</v>
      </c>
      <c r="F11" s="38" t="e">
        <f>'АМП 2017 (терапевты)  (без пло)'!O18</f>
        <v>#REF!</v>
      </c>
      <c r="G11" s="111" t="e">
        <f t="shared" si="1"/>
        <v>#REF!</v>
      </c>
      <c r="H11" s="340"/>
      <c r="I11" s="336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</row>
    <row r="12" spans="2:15" s="5" customFormat="1" ht="44.25" customHeight="1" x14ac:dyDescent="0.3">
      <c r="B12" s="119">
        <v>10</v>
      </c>
      <c r="C12" s="9" t="s">
        <v>26</v>
      </c>
      <c r="D12" s="9"/>
      <c r="E12" s="49">
        <f>'Коэф плотности населения'!D12</f>
        <v>0</v>
      </c>
      <c r="F12" s="38" t="e">
        <f>'АМП 2017 (терапевты)  (без пло)'!O19</f>
        <v>#REF!</v>
      </c>
      <c r="G12" s="111" t="e">
        <f t="shared" si="1"/>
        <v>#REF!</v>
      </c>
      <c r="H12" s="340"/>
      <c r="I12" s="336"/>
      <c r="J12" s="52" t="e">
        <f t="shared" si="2"/>
        <v>#REF!</v>
      </c>
      <c r="K12" s="52" t="e">
        <f>SUM(J8:J12)</f>
        <v>#REF!</v>
      </c>
      <c r="L12" s="125">
        <f>SUM(E8:E12)</f>
        <v>0</v>
      </c>
      <c r="N12" s="5" t="e">
        <f t="shared" si="3"/>
        <v>#REF!</v>
      </c>
      <c r="O12" s="126" t="e">
        <f t="shared" si="4"/>
        <v>#REF!</v>
      </c>
    </row>
    <row r="13" spans="2:15" s="5" customFormat="1" ht="44.25" customHeight="1" x14ac:dyDescent="0.3">
      <c r="B13" s="119">
        <v>6</v>
      </c>
      <c r="C13" s="9" t="s">
        <v>1</v>
      </c>
      <c r="D13" s="9">
        <v>7000</v>
      </c>
      <c r="E13" s="49">
        <f>'Коэф плотности населения'!D13</f>
        <v>0</v>
      </c>
      <c r="F13" s="38" t="e">
        <f>'АМП 2017 (терапевты)  (без пло)'!O10</f>
        <v>#REF!</v>
      </c>
      <c r="G13" s="111" t="e">
        <f t="shared" si="1"/>
        <v>#REF!</v>
      </c>
      <c r="H13" s="340" t="e">
        <f>K15/L15</f>
        <v>#REF!</v>
      </c>
      <c r="I13" s="336"/>
      <c r="J13" s="52" t="e">
        <f t="shared" si="2"/>
        <v>#REF!</v>
      </c>
      <c r="K13" s="52"/>
      <c r="N13" s="5" t="e">
        <f>E13*$H$13</f>
        <v>#REF!</v>
      </c>
      <c r="O13" s="126" t="e">
        <f t="shared" si="4"/>
        <v>#REF!</v>
      </c>
    </row>
    <row r="14" spans="2:15" s="5" customFormat="1" ht="44.25" customHeight="1" x14ac:dyDescent="0.3">
      <c r="B14" s="119">
        <v>8</v>
      </c>
      <c r="C14" s="9" t="s">
        <v>3</v>
      </c>
      <c r="D14" s="9">
        <v>9000</v>
      </c>
      <c r="E14" s="49">
        <f>'Коэф плотности населения'!D19</f>
        <v>0</v>
      </c>
      <c r="F14" s="38" t="e">
        <f>'АМП 2017 (терапевты)  (без пло)'!O12</f>
        <v>#REF!</v>
      </c>
      <c r="G14" s="111" t="e">
        <f t="shared" si="1"/>
        <v>#REF!</v>
      </c>
      <c r="H14" s="340"/>
      <c r="I14" s="336"/>
      <c r="J14" s="52" t="e">
        <f t="shared" si="2"/>
        <v>#REF!</v>
      </c>
      <c r="K14" s="52"/>
      <c r="N14" s="5" t="e">
        <f t="shared" ref="N14:N15" si="5">E14*$H$13</f>
        <v>#REF!</v>
      </c>
      <c r="O14" s="126" t="e">
        <f t="shared" si="4"/>
        <v>#REF!</v>
      </c>
    </row>
    <row r="15" spans="2:15" s="5" customFormat="1" ht="44.25" customHeight="1" x14ac:dyDescent="0.3">
      <c r="B15" s="119">
        <v>11</v>
      </c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'АМП 2017 (терапевты)  (без пло)'!O14</f>
        <v>#REF!</v>
      </c>
      <c r="G15" s="111" t="e">
        <f t="shared" si="1"/>
        <v>#REF!</v>
      </c>
      <c r="H15" s="340"/>
      <c r="I15" s="336"/>
      <c r="J15" s="52" t="e">
        <f t="shared" si="2"/>
        <v>#REF!</v>
      </c>
      <c r="K15" s="52" t="e">
        <f>SUM(J13:J15)</f>
        <v>#REF!</v>
      </c>
      <c r="L15" s="125">
        <f>SUM(E13:E15)</f>
        <v>0</v>
      </c>
      <c r="N15" s="5" t="e">
        <f t="shared" si="5"/>
        <v>#REF!</v>
      </c>
      <c r="O15" s="126" t="e">
        <f t="shared" si="4"/>
        <v>#REF!</v>
      </c>
    </row>
    <row r="16" spans="2:15" s="5" customFormat="1" ht="44.25" customHeight="1" x14ac:dyDescent="0.3">
      <c r="B16" s="119">
        <v>5</v>
      </c>
      <c r="C16" s="9" t="s">
        <v>2</v>
      </c>
      <c r="D16" s="9">
        <v>20230</v>
      </c>
      <c r="E16" s="49">
        <f>'Коэф плотности населения'!D18</f>
        <v>0</v>
      </c>
      <c r="F16" s="38" t="e">
        <f>'АМП 2017 (терапевты)  (без пло)'!O9</f>
        <v>#REF!</v>
      </c>
      <c r="G16" s="111" t="e">
        <f t="shared" si="1"/>
        <v>#REF!</v>
      </c>
      <c r="H16" s="340" t="e">
        <f>K19/L19</f>
        <v>#REF!</v>
      </c>
      <c r="I16" s="336"/>
      <c r="J16" s="52" t="e">
        <f t="shared" si="2"/>
        <v>#REF!</v>
      </c>
      <c r="K16" s="52"/>
      <c r="N16" s="5" t="e">
        <f>E16*$H$16</f>
        <v>#REF!</v>
      </c>
      <c r="O16" s="126" t="e">
        <f t="shared" ref="O16:O19" si="6">N16-F16</f>
        <v>#REF!</v>
      </c>
    </row>
    <row r="17" spans="2:17" s="5" customFormat="1" ht="44.25" customHeight="1" x14ac:dyDescent="0.3">
      <c r="B17" s="119">
        <v>7</v>
      </c>
      <c r="C17" s="9" t="s">
        <v>4</v>
      </c>
      <c r="D17" s="9">
        <v>13300</v>
      </c>
      <c r="E17" s="49">
        <f>'Коэф плотности населения'!D15</f>
        <v>0</v>
      </c>
      <c r="F17" s="38" t="e">
        <f>'АМП 2017 (терапевты)  (без пло)'!O11</f>
        <v>#REF!</v>
      </c>
      <c r="G17" s="111" t="e">
        <f t="shared" si="1"/>
        <v>#REF!</v>
      </c>
      <c r="H17" s="340"/>
      <c r="I17" s="336"/>
      <c r="J17" s="52" t="e">
        <f t="shared" si="2"/>
        <v>#REF!</v>
      </c>
      <c r="K17" s="52"/>
      <c r="N17" s="5" t="e">
        <f t="shared" ref="N17:N19" si="7">E17*$H$16</f>
        <v>#REF!</v>
      </c>
      <c r="O17" s="126" t="e">
        <f t="shared" si="6"/>
        <v>#REF!</v>
      </c>
    </row>
    <row r="18" spans="2:17" s="5" customFormat="1" ht="44.25" customHeight="1" x14ac:dyDescent="0.3">
      <c r="B18" s="119">
        <v>9</v>
      </c>
      <c r="C18" s="9" t="s">
        <v>6</v>
      </c>
      <c r="D18" s="9">
        <v>5000</v>
      </c>
      <c r="E18" s="49">
        <f>'Коэф плотности населения'!D14</f>
        <v>0</v>
      </c>
      <c r="F18" s="38" t="e">
        <f>'АМП 2017 (терапевты)  (без пло)'!O13</f>
        <v>#REF!</v>
      </c>
      <c r="G18" s="111" t="e">
        <f t="shared" si="1"/>
        <v>#REF!</v>
      </c>
      <c r="H18" s="340"/>
      <c r="I18" s="336"/>
      <c r="J18" s="52" t="e">
        <f t="shared" si="2"/>
        <v>#REF!</v>
      </c>
      <c r="K18" s="52"/>
      <c r="N18" s="5" t="e">
        <f t="shared" si="7"/>
        <v>#REF!</v>
      </c>
      <c r="O18" s="126" t="e">
        <f t="shared" si="6"/>
        <v>#REF!</v>
      </c>
    </row>
    <row r="19" spans="2:17" s="5" customFormat="1" ht="44.25" customHeight="1" x14ac:dyDescent="0.3">
      <c r="B19" s="119">
        <v>11</v>
      </c>
      <c r="C19" s="9" t="s">
        <v>5</v>
      </c>
      <c r="D19" s="9">
        <v>6000</v>
      </c>
      <c r="E19" s="49">
        <f>'Коэф плотности населения'!D17</f>
        <v>0</v>
      </c>
      <c r="F19" s="38" t="e">
        <f>'АМП 2017 (терапевты)  (без пло)'!O15</f>
        <v>#REF!</v>
      </c>
      <c r="G19" s="111" t="e">
        <f t="shared" si="1"/>
        <v>#REF!</v>
      </c>
      <c r="H19" s="340"/>
      <c r="I19" s="336"/>
      <c r="J19" s="52" t="e">
        <f t="shared" si="2"/>
        <v>#REF!</v>
      </c>
      <c r="K19" s="52" t="e">
        <f>SUM(J16:J19)</f>
        <v>#REF!</v>
      </c>
      <c r="L19" s="125">
        <f>SUM(E16:E19)</f>
        <v>0</v>
      </c>
      <c r="N19" s="5" t="e">
        <f t="shared" si="7"/>
        <v>#REF!</v>
      </c>
      <c r="O19" s="126" t="e">
        <f t="shared" si="6"/>
        <v>#REF!</v>
      </c>
    </row>
    <row r="20" spans="2:17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ref="J20" si="8">E20*G20</f>
        <v>0</v>
      </c>
      <c r="K20" s="36"/>
      <c r="N20" s="61"/>
      <c r="O20" s="60"/>
      <c r="P20" s="60"/>
      <c r="Q20" s="1"/>
    </row>
    <row r="21" spans="2:17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2:17" ht="18.75" customHeight="1" x14ac:dyDescent="0.3">
      <c r="B22" s="26"/>
      <c r="C22" s="26"/>
      <c r="D22" s="26"/>
      <c r="E22" s="62"/>
      <c r="G22" s="42"/>
    </row>
    <row r="23" spans="2:17" ht="33" customHeight="1" x14ac:dyDescent="0.3">
      <c r="B23" s="26"/>
      <c r="C23" s="26"/>
      <c r="D23" s="26"/>
      <c r="E23" s="62"/>
    </row>
    <row r="24" spans="2:17" ht="24" customHeight="1" x14ac:dyDescent="0.3">
      <c r="B24" s="26"/>
      <c r="C24" s="26"/>
      <c r="D24" s="26"/>
      <c r="E24" s="29"/>
    </row>
    <row r="25" spans="2:17" x14ac:dyDescent="0.3">
      <c r="B25" s="30"/>
      <c r="C25" s="30"/>
      <c r="D25" s="30"/>
      <c r="E25" s="31"/>
    </row>
    <row r="26" spans="2:17" ht="50.25" customHeight="1" x14ac:dyDescent="0.3">
      <c r="B26" s="30"/>
      <c r="C26" s="21"/>
      <c r="D26" s="21"/>
      <c r="E26" s="34"/>
    </row>
    <row r="27" spans="2:17" ht="50.25" customHeight="1" x14ac:dyDescent="0.3">
      <c r="B27" s="30"/>
      <c r="C27" s="21"/>
      <c r="D27" s="21"/>
      <c r="E27" s="34"/>
    </row>
    <row r="28" spans="2:17" ht="50.25" customHeight="1" x14ac:dyDescent="0.3">
      <c r="B28" s="30"/>
      <c r="C28" s="21"/>
      <c r="D28" s="21"/>
      <c r="E28" s="34"/>
    </row>
    <row r="29" spans="2:17" ht="50.25" customHeight="1" x14ac:dyDescent="0.3">
      <c r="B29" s="30"/>
      <c r="C29" s="21"/>
      <c r="D29" s="21"/>
      <c r="E29" s="34"/>
    </row>
    <row r="30" spans="2:17" ht="50.25" customHeight="1" x14ac:dyDescent="0.3">
      <c r="B30" s="30"/>
      <c r="C30" s="21"/>
      <c r="D30" s="21"/>
      <c r="E30" s="34"/>
    </row>
    <row r="31" spans="2:17" ht="50.25" customHeight="1" x14ac:dyDescent="0.3">
      <c r="B31" s="30"/>
      <c r="C31" s="21"/>
      <c r="D31" s="21"/>
      <c r="E31" s="34"/>
    </row>
    <row r="32" spans="2:17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4">
    <mergeCell ref="H16:H19"/>
    <mergeCell ref="I16:I19"/>
    <mergeCell ref="H8:H12"/>
    <mergeCell ref="I8:I12"/>
    <mergeCell ref="H13:H15"/>
    <mergeCell ref="I13:I15"/>
    <mergeCell ref="C1:I3"/>
    <mergeCell ref="B4:B6"/>
    <mergeCell ref="C4:C6"/>
    <mergeCell ref="D4:D6"/>
    <mergeCell ref="E4:E6"/>
    <mergeCell ref="F4:F6"/>
    <mergeCell ref="G4:G6"/>
    <mergeCell ref="H4:I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00FF"/>
  </sheetPr>
  <dimension ref="A1:AR46"/>
  <sheetViews>
    <sheetView view="pageBreakPreview" zoomScale="60" zoomScaleNormal="53" workbookViewId="0">
      <pane xSplit="3" ySplit="7" topLeftCell="F8" activePane="bottomRight" state="frozen"/>
      <selection activeCell="C1" sqref="C1"/>
      <selection pane="topRight" activeCell="D1" sqref="D1"/>
      <selection pane="bottomLeft" activeCell="C8" sqref="C8"/>
      <selection pane="bottomRight" activeCell="AN16" sqref="AN1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8" width="23.5703125" style="1" customWidth="1"/>
    <col min="19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0" style="1" hidden="1" customWidth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0" style="1" hidden="1" customWidth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249"/>
      <c r="P1" s="249"/>
      <c r="Q1" s="249"/>
      <c r="R1" s="249"/>
      <c r="S1" s="185"/>
      <c r="T1" s="185"/>
    </row>
    <row r="2" spans="1:44" ht="22.5" customHeight="1" x14ac:dyDescent="0.3">
      <c r="O2" s="250"/>
      <c r="P2" s="250"/>
      <c r="Q2" s="250"/>
      <c r="R2" s="250"/>
      <c r="S2" s="186"/>
      <c r="T2" s="186"/>
    </row>
    <row r="3" spans="1:44" ht="48" customHeight="1" x14ac:dyDescent="0.3">
      <c r="C3" s="251" t="s">
        <v>61</v>
      </c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1"/>
      <c r="P3" s="251"/>
      <c r="Q3" s="2"/>
      <c r="R3" s="2" t="s">
        <v>16</v>
      </c>
      <c r="S3" s="2"/>
      <c r="T3" s="2"/>
    </row>
    <row r="4" spans="1:44" s="3" customFormat="1" ht="43.9" customHeight="1" x14ac:dyDescent="0.3">
      <c r="B4" s="252" t="s">
        <v>7</v>
      </c>
      <c r="C4" s="252" t="s">
        <v>8</v>
      </c>
      <c r="D4" s="253" t="s">
        <v>52</v>
      </c>
      <c r="E4" s="253" t="s">
        <v>58</v>
      </c>
      <c r="F4" s="256" t="s">
        <v>10</v>
      </c>
      <c r="G4" s="257"/>
      <c r="H4" s="257"/>
      <c r="I4" s="257"/>
      <c r="J4" s="257"/>
      <c r="K4" s="257"/>
      <c r="L4" s="257"/>
      <c r="M4" s="258" t="s">
        <v>38</v>
      </c>
      <c r="N4" s="258" t="s">
        <v>42</v>
      </c>
      <c r="O4" s="258" t="s">
        <v>28</v>
      </c>
      <c r="P4" s="262" t="s">
        <v>53</v>
      </c>
      <c r="Q4" s="262" t="s">
        <v>29</v>
      </c>
      <c r="R4" s="262" t="s">
        <v>17</v>
      </c>
      <c r="S4" s="63"/>
      <c r="T4" s="63"/>
      <c r="AE4" s="140"/>
      <c r="AF4" s="140"/>
      <c r="AH4" s="140"/>
      <c r="AL4" s="192"/>
      <c r="AM4" s="192"/>
      <c r="AN4" s="192"/>
      <c r="AO4" s="192"/>
    </row>
    <row r="5" spans="1:44" s="4" customFormat="1" ht="69" customHeight="1" x14ac:dyDescent="0.3">
      <c r="B5" s="252"/>
      <c r="C5" s="252"/>
      <c r="D5" s="254"/>
      <c r="E5" s="254"/>
      <c r="F5" s="258" t="s">
        <v>11</v>
      </c>
      <c r="G5" s="258" t="s">
        <v>48</v>
      </c>
      <c r="H5" s="256" t="s">
        <v>63</v>
      </c>
      <c r="I5" s="257"/>
      <c r="J5" s="261"/>
      <c r="K5" s="262" t="s">
        <v>36</v>
      </c>
      <c r="L5" s="262" t="s">
        <v>37</v>
      </c>
      <c r="M5" s="259"/>
      <c r="N5" s="259"/>
      <c r="O5" s="259"/>
      <c r="P5" s="277"/>
      <c r="Q5" s="277"/>
      <c r="R5" s="277"/>
      <c r="S5" s="63"/>
      <c r="T5" s="268" t="s">
        <v>62</v>
      </c>
      <c r="AE5" s="140"/>
      <c r="AF5" s="140"/>
      <c r="AH5" s="140"/>
      <c r="AL5" s="193"/>
      <c r="AM5" s="193"/>
      <c r="AN5" s="193"/>
      <c r="AO5" s="193"/>
    </row>
    <row r="6" spans="1:44" s="4" customFormat="1" ht="78" customHeight="1" x14ac:dyDescent="0.3">
      <c r="B6" s="252"/>
      <c r="C6" s="252"/>
      <c r="D6" s="255"/>
      <c r="E6" s="255"/>
      <c r="F6" s="260"/>
      <c r="G6" s="260"/>
      <c r="H6" s="183" t="s">
        <v>69</v>
      </c>
      <c r="I6" s="183" t="s">
        <v>64</v>
      </c>
      <c r="J6" s="183" t="s">
        <v>65</v>
      </c>
      <c r="K6" s="263"/>
      <c r="L6" s="263"/>
      <c r="M6" s="260"/>
      <c r="N6" s="260"/>
      <c r="O6" s="260"/>
      <c r="P6" s="263"/>
      <c r="Q6" s="263"/>
      <c r="R6" s="263"/>
      <c r="S6" s="63"/>
      <c r="T6" s="268"/>
      <c r="AE6" s="140"/>
      <c r="AF6" s="140"/>
      <c r="AH6" s="140"/>
      <c r="AL6" s="193"/>
      <c r="AM6" s="193"/>
      <c r="AN6" s="193"/>
      <c r="AO6" s="193"/>
    </row>
    <row r="7" spans="1:44" s="5" customFormat="1" ht="42.75" customHeight="1" x14ac:dyDescent="0.3">
      <c r="B7" s="252"/>
      <c r="C7" s="252"/>
      <c r="D7" s="191" t="s">
        <v>31</v>
      </c>
      <c r="E7" s="188" t="s">
        <v>32</v>
      </c>
      <c r="F7" s="184" t="s">
        <v>15</v>
      </c>
      <c r="G7" s="184" t="s">
        <v>33</v>
      </c>
      <c r="H7" s="184" t="s">
        <v>66</v>
      </c>
      <c r="I7" s="184" t="s">
        <v>67</v>
      </c>
      <c r="J7" s="184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68"/>
      <c r="U7" s="269" t="s">
        <v>18</v>
      </c>
      <c r="V7" s="270"/>
      <c r="AE7" s="139"/>
      <c r="AF7" s="139"/>
      <c r="AH7" s="139" t="s">
        <v>59</v>
      </c>
      <c r="AL7" s="271" t="s">
        <v>60</v>
      </c>
      <c r="AM7" s="271"/>
      <c r="AN7" s="189"/>
      <c r="AO7" s="189"/>
      <c r="AP7" s="159" t="s">
        <v>70</v>
      </c>
      <c r="AQ7" s="10" t="s">
        <v>71</v>
      </c>
      <c r="AR7" s="10" t="s">
        <v>73</v>
      </c>
    </row>
    <row r="8" spans="1:44" s="5" customFormat="1" ht="26.25" customHeight="1" x14ac:dyDescent="0.3">
      <c r="B8" s="187">
        <v>1</v>
      </c>
      <c r="C8" s="187">
        <v>2</v>
      </c>
      <c r="D8" s="188">
        <v>3</v>
      </c>
      <c r="E8" s="188">
        <v>4</v>
      </c>
      <c r="F8" s="183">
        <v>5</v>
      </c>
      <c r="G8" s="183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90"/>
      <c r="T8" s="190"/>
      <c r="AE8" s="139"/>
      <c r="AF8" s="139"/>
      <c r="AH8" s="139"/>
      <c r="AL8" s="194"/>
      <c r="AM8" s="194"/>
      <c r="AN8" s="194"/>
      <c r="AO8" s="194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(+ санкции)'!E22/3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72" t="e">
        <f>V14/X14</f>
        <v>#REF!</v>
      </c>
      <c r="M9" s="272" t="e">
        <f>D9*L9</f>
        <v>#REF!</v>
      </c>
      <c r="N9" s="274" t="e">
        <f>R22/R23</f>
        <v>#REF!</v>
      </c>
      <c r="O9" s="272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1">
        <f>10475186.09*3</f>
        <v>31425558.27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5">
        <v>10474961.01</v>
      </c>
      <c r="AM9" s="195" t="e">
        <f>P9-AL9</f>
        <v>#REF!</v>
      </c>
      <c r="AN9" s="195" t="e">
        <f>AM9*3</f>
        <v>#REF!</v>
      </c>
      <c r="AO9" s="1" t="e">
        <f>ROUND(AN9/1000,2)-0.02</f>
        <v>#REF!</v>
      </c>
      <c r="AP9" s="1">
        <v>21888.75</v>
      </c>
      <c r="AQ9" s="196" t="e">
        <f>AP9-AO9-3366.39+7.05</f>
        <v>#REF!</v>
      </c>
      <c r="AR9" s="61">
        <f>3366.39-7.05</f>
        <v>3359.3399999999997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4">F10*G10*H10*J10*I10</f>
        <v>#REF!</v>
      </c>
      <c r="L10" s="273"/>
      <c r="M10" s="273"/>
      <c r="N10" s="275"/>
      <c r="O10" s="273"/>
      <c r="P10" s="69" t="e">
        <f t="shared" ref="P10:P13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62">
        <f>4876887.05*3</f>
        <v>14630661.149999999</v>
      </c>
      <c r="T10" s="154" t="e">
        <f t="shared" ref="T10:T20" si="7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39">
        <v>4919311.38</v>
      </c>
      <c r="AF10" s="141" t="e">
        <f t="shared" ref="AF10:AF22" si="10">P10-AE10</f>
        <v>#REF!</v>
      </c>
      <c r="AG10" s="60" t="e">
        <f t="shared" ref="AG10:AG20" si="11">ROUND(AF10*10/1000,3)</f>
        <v>#REF!</v>
      </c>
      <c r="AH10" s="141" t="e">
        <f t="shared" ref="AH10:AH20" si="12">ROUND(Q10/1000,2)</f>
        <v>#REF!</v>
      </c>
      <c r="AL10" s="195">
        <v>4876782.2699999996</v>
      </c>
      <c r="AM10" s="195" t="e">
        <f t="shared" ref="AM10:AM20" si="13">P10-AL10</f>
        <v>#REF!</v>
      </c>
      <c r="AN10" s="197" t="e">
        <f t="shared" ref="AN10:AN20" si="14">AM10*3</f>
        <v>#REF!</v>
      </c>
      <c r="AO10" s="1" t="e">
        <f t="shared" ref="AO10:AO16" si="15">ROUND(AN10/1000,2)</f>
        <v>#REF!</v>
      </c>
      <c r="AP10" s="264"/>
      <c r="AQ10" s="61" t="e">
        <f>-AO10+1000</f>
        <v>#REF!</v>
      </c>
      <c r="AR10" s="1">
        <v>-1000</v>
      </c>
    </row>
    <row r="11" spans="1:44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4"/>
        <v>#REF!</v>
      </c>
      <c r="L11" s="273"/>
      <c r="M11" s="273"/>
      <c r="N11" s="275"/>
      <c r="O11" s="273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62">
        <f>1567117.87*3</f>
        <v>4701353.6100000003</v>
      </c>
      <c r="T11" s="154" t="e">
        <f t="shared" si="7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39">
        <v>1584940.64</v>
      </c>
      <c r="AF11" s="141" t="e">
        <f t="shared" si="10"/>
        <v>#REF!</v>
      </c>
      <c r="AG11" s="60" t="e">
        <f t="shared" si="11"/>
        <v>#REF!</v>
      </c>
      <c r="AH11" s="141" t="e">
        <f t="shared" si="12"/>
        <v>#REF!</v>
      </c>
      <c r="AL11" s="195">
        <v>1567084.2</v>
      </c>
      <c r="AM11" s="195" t="e">
        <f t="shared" si="13"/>
        <v>#REF!</v>
      </c>
      <c r="AN11" s="197" t="e">
        <f t="shared" si="14"/>
        <v>#REF!</v>
      </c>
      <c r="AO11" s="1" t="e">
        <f t="shared" si="15"/>
        <v>#REF!</v>
      </c>
      <c r="AP11" s="264"/>
      <c r="AQ11" s="61" t="e">
        <f t="shared" ref="AQ11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3">
        <v>1.0339</v>
      </c>
      <c r="I12" s="144">
        <v>1</v>
      </c>
      <c r="J12" s="144">
        <v>1</v>
      </c>
      <c r="K12" s="131" t="e">
        <f t="shared" si="4"/>
        <v>#REF!</v>
      </c>
      <c r="L12" s="273"/>
      <c r="M12" s="273"/>
      <c r="N12" s="275"/>
      <c r="O12" s="273"/>
      <c r="P12" s="69" t="e">
        <f>ROUND($O$9*E12,2)</f>
        <v>#REF!</v>
      </c>
      <c r="Q12" s="18" t="e">
        <f t="shared" si="6"/>
        <v>#REF!</v>
      </c>
      <c r="R12" s="100" t="e">
        <f t="shared" si="0"/>
        <v>#REF!</v>
      </c>
      <c r="S12" s="162">
        <f>5014878.65*3</f>
        <v>15044635.950000001</v>
      </c>
      <c r="T12" s="154" t="e">
        <f t="shared" si="7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39">
        <v>5108909.84</v>
      </c>
      <c r="AF12" s="141" t="e">
        <f t="shared" si="10"/>
        <v>#REF!</v>
      </c>
      <c r="AG12" s="60" t="e">
        <f t="shared" si="11"/>
        <v>#REF!</v>
      </c>
      <c r="AH12" s="141" t="e">
        <f>ROUND(Q12/1000,2)-0.01</f>
        <v>#REF!</v>
      </c>
      <c r="AL12" s="195">
        <v>5014770.9000000004</v>
      </c>
      <c r="AM12" s="195" t="e">
        <f t="shared" si="13"/>
        <v>#REF!</v>
      </c>
      <c r="AN12" s="197" t="e">
        <f t="shared" si="14"/>
        <v>#REF!</v>
      </c>
      <c r="AO12" s="1" t="e">
        <f t="shared" si="15"/>
        <v>#REF!</v>
      </c>
      <c r="AP12" s="264"/>
      <c r="AQ12" s="61" t="e">
        <f>-AO12+1000</f>
        <v>#REF!</v>
      </c>
      <c r="AR12" s="1">
        <v>-1000</v>
      </c>
    </row>
    <row r="13" spans="1:44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44">
        <v>1</v>
      </c>
      <c r="J13" s="144">
        <v>1</v>
      </c>
      <c r="K13" s="131" t="e">
        <f t="shared" si="4"/>
        <v>#REF!</v>
      </c>
      <c r="L13" s="273"/>
      <c r="M13" s="273"/>
      <c r="N13" s="275"/>
      <c r="O13" s="273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62">
        <f>2732436.67*3</f>
        <v>8197310.0099999998</v>
      </c>
      <c r="T13" s="154" t="e">
        <f t="shared" si="7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39">
        <v>2770699.65</v>
      </c>
      <c r="AF13" s="141" t="e">
        <f t="shared" si="10"/>
        <v>#REF!</v>
      </c>
      <c r="AG13" s="60" t="e">
        <f t="shared" si="11"/>
        <v>#REF!</v>
      </c>
      <c r="AH13" s="141" t="e">
        <f>ROUND(Q13/1000,2)-0.01</f>
        <v>#REF!</v>
      </c>
      <c r="AL13" s="195">
        <v>2732377.96</v>
      </c>
      <c r="AM13" s="195" t="e">
        <f t="shared" si="13"/>
        <v>#REF!</v>
      </c>
      <c r="AN13" s="197" t="e">
        <f t="shared" si="14"/>
        <v>#REF!</v>
      </c>
      <c r="AO13" s="1" t="e">
        <f t="shared" si="15"/>
        <v>#REF!</v>
      </c>
      <c r="AP13" s="264"/>
      <c r="AQ13" s="61" t="e">
        <f>-AO13+1000</f>
        <v>#REF!</v>
      </c>
      <c r="AR13" s="1">
        <v>-1000</v>
      </c>
    </row>
    <row r="14" spans="1:44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3">
        <v>1.0364</v>
      </c>
      <c r="I14" s="144">
        <v>1</v>
      </c>
      <c r="J14" s="144">
        <v>1</v>
      </c>
      <c r="K14" s="131" t="e">
        <f t="shared" si="4"/>
        <v>#REF!</v>
      </c>
      <c r="L14" s="273"/>
      <c r="M14" s="273"/>
      <c r="N14" s="275"/>
      <c r="O14" s="273"/>
      <c r="P14" s="69" t="e">
        <f>ROUND($O$9*E14,2)</f>
        <v>#REF!</v>
      </c>
      <c r="Q14" s="18" t="e">
        <f t="shared" si="6"/>
        <v>#REF!</v>
      </c>
      <c r="R14" s="100" t="e">
        <f t="shared" si="0"/>
        <v>#REF!</v>
      </c>
      <c r="S14" s="162">
        <f>4078362.11*3</f>
        <v>12235086.33</v>
      </c>
      <c r="T14" s="154" t="e">
        <f t="shared" si="7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5">
        <v>4078274.49</v>
      </c>
      <c r="AM14" s="195" t="e">
        <f>P14-AL14</f>
        <v>#REF!</v>
      </c>
      <c r="AN14" s="197" t="e">
        <f t="shared" si="14"/>
        <v>#REF!</v>
      </c>
      <c r="AO14" s="1" t="e">
        <f t="shared" si="15"/>
        <v>#REF!</v>
      </c>
      <c r="AP14" s="264"/>
      <c r="AQ14" s="61" t="e">
        <f>-AO14</f>
        <v>#REF!</v>
      </c>
    </row>
    <row r="15" spans="1:44" ht="43.9" customHeight="1" x14ac:dyDescent="0.3">
      <c r="B15" s="170">
        <v>3</v>
      </c>
      <c r="C15" s="171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67">
        <v>1</v>
      </c>
      <c r="J15" s="172">
        <v>4.5325100000000003</v>
      </c>
      <c r="K15" s="131" t="e">
        <f t="shared" si="4"/>
        <v>#REF!</v>
      </c>
      <c r="L15" s="169" t="e">
        <f>U15/W15</f>
        <v>#REF!</v>
      </c>
      <c r="M15" s="169" t="e">
        <f>D15*L15</f>
        <v>#REF!</v>
      </c>
      <c r="N15" s="275"/>
      <c r="O15" s="169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62">
        <f>4172724.02*3+45910270+4051780</f>
        <v>62480222.060000002</v>
      </c>
      <c r="T15" s="168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5">
        <v>13355615.890000001</v>
      </c>
      <c r="AM15" s="195" t="e">
        <f>P15-AL15</f>
        <v>#REF!</v>
      </c>
      <c r="AN15" s="199" t="e">
        <f t="shared" si="14"/>
        <v>#REF!</v>
      </c>
      <c r="AO15" s="1" t="e">
        <f t="shared" si="15"/>
        <v>#REF!</v>
      </c>
      <c r="AQ15" s="61"/>
    </row>
    <row r="16" spans="1:44" ht="43.9" customHeight="1" x14ac:dyDescent="0.3">
      <c r="B16" s="158">
        <v>7</v>
      </c>
      <c r="C16" s="160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3">
        <v>1.0707</v>
      </c>
      <c r="I16" s="166">
        <v>1.1736</v>
      </c>
      <c r="J16" s="166">
        <v>4.3826700000000001</v>
      </c>
      <c r="K16" s="123" t="e">
        <f t="shared" si="4"/>
        <v>#REF!</v>
      </c>
      <c r="L16" s="169" t="e">
        <f>U16/W16</f>
        <v>#REF!</v>
      </c>
      <c r="M16" s="169" t="e">
        <f>D16*L16</f>
        <v>#REF!</v>
      </c>
      <c r="N16" s="275"/>
      <c r="O16" s="169" t="e">
        <f>M16/$N$9</f>
        <v>#REF!</v>
      </c>
      <c r="P16" s="69" t="e">
        <f>ROUND($O$16*E16,2)+0.01</f>
        <v>#REF!</v>
      </c>
      <c r="Q16" s="18" t="e">
        <f t="shared" si="6"/>
        <v>#REF!</v>
      </c>
      <c r="R16" s="100" t="e">
        <f>$M$16*E16</f>
        <v>#REF!</v>
      </c>
      <c r="S16" s="162">
        <f>2362598.88*3+30046440+7258420+757830</f>
        <v>45150486.640000001</v>
      </c>
      <c r="T16" s="165" t="e">
        <f t="shared" si="7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39">
        <v>2391502.73</v>
      </c>
      <c r="AF16" s="141" t="e">
        <f t="shared" si="10"/>
        <v>#REF!</v>
      </c>
      <c r="AG16" s="60" t="e">
        <f t="shared" si="11"/>
        <v>#REF!</v>
      </c>
      <c r="AH16" s="141" t="e">
        <f t="shared" si="12"/>
        <v>#REF!</v>
      </c>
      <c r="AL16" s="195">
        <v>9822671.6400000006</v>
      </c>
      <c r="AM16" s="195" t="e">
        <f t="shared" si="13"/>
        <v>#REF!</v>
      </c>
      <c r="AN16" s="199" t="e">
        <f t="shared" si="14"/>
        <v>#REF!</v>
      </c>
      <c r="AO16" s="1" t="e">
        <f t="shared" si="15"/>
        <v>#REF!</v>
      </c>
      <c r="AQ16" s="61"/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4"/>
        <v>#REF!</v>
      </c>
      <c r="L17" s="265" t="e">
        <f>V20/X20</f>
        <v>#REF!</v>
      </c>
      <c r="M17" s="265" t="e">
        <f>ROUND(D18*L17,2)</f>
        <v>#REF!</v>
      </c>
      <c r="N17" s="275"/>
      <c r="O17" s="265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62">
        <f>1020725.2*3</f>
        <v>3062175.5999999996</v>
      </c>
      <c r="T17" s="154" t="e">
        <f t="shared" si="7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5">
        <v>1020757.92</v>
      </c>
      <c r="AM17" s="195" t="e">
        <f t="shared" si="13"/>
        <v>#REF!</v>
      </c>
      <c r="AN17" s="195" t="e">
        <f t="shared" si="14"/>
        <v>#REF!</v>
      </c>
      <c r="AO17" s="1" t="e">
        <f>ROUND(AN17/1000,2)</f>
        <v>#REF!</v>
      </c>
      <c r="AQ17" s="61"/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4"/>
        <v>#REF!</v>
      </c>
      <c r="L18" s="266"/>
      <c r="M18" s="266"/>
      <c r="N18" s="275"/>
      <c r="O18" s="266"/>
      <c r="P18" s="103" t="e">
        <f t="shared" ref="P18:P20" si="18">ROUND($O$17*E18,2)</f>
        <v>#REF!</v>
      </c>
      <c r="Q18" s="18" t="e">
        <f t="shared" si="6"/>
        <v>#REF!</v>
      </c>
      <c r="R18" s="100" t="e">
        <f t="shared" ref="R18:R20" si="19">$M$17*E18</f>
        <v>#REF!</v>
      </c>
      <c r="S18" s="162">
        <f>8330355.19*3</f>
        <v>24991065.57</v>
      </c>
      <c r="T18" s="154" t="e">
        <f t="shared" si="7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39">
        <v>8357741.0300000003</v>
      </c>
      <c r="AF18" s="141" t="e">
        <f t="shared" si="10"/>
        <v>#REF!</v>
      </c>
      <c r="AG18" s="60" t="e">
        <f t="shared" si="11"/>
        <v>#REF!</v>
      </c>
      <c r="AH18" s="141" t="e">
        <f t="shared" si="12"/>
        <v>#REF!</v>
      </c>
      <c r="AL18" s="195">
        <v>8330622.2199999997</v>
      </c>
      <c r="AM18" s="195" t="e">
        <f t="shared" si="13"/>
        <v>#REF!</v>
      </c>
      <c r="AN18" s="195" t="e">
        <f t="shared" si="14"/>
        <v>#REF!</v>
      </c>
      <c r="AO18" s="1" t="e">
        <f>ROUND(AN18/1000,2)</f>
        <v>#REF!</v>
      </c>
      <c r="AQ18" s="61"/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4"/>
        <v>#REF!</v>
      </c>
      <c r="L19" s="266"/>
      <c r="M19" s="266"/>
      <c r="N19" s="275"/>
      <c r="O19" s="266"/>
      <c r="P19" s="103" t="e">
        <f t="shared" si="18"/>
        <v>#REF!</v>
      </c>
      <c r="Q19" s="18" t="e">
        <f t="shared" si="6"/>
        <v>#REF!</v>
      </c>
      <c r="R19" s="100" t="e">
        <f t="shared" si="19"/>
        <v>#REF!</v>
      </c>
      <c r="S19" s="162">
        <f>7095244.85*3</f>
        <v>21285734.549999997</v>
      </c>
      <c r="T19" s="154" t="e">
        <f t="shared" si="7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39">
        <v>7133909.4000000004</v>
      </c>
      <c r="AF19" s="141" t="e">
        <f t="shared" si="10"/>
        <v>#REF!</v>
      </c>
      <c r="AG19" s="60" t="e">
        <f t="shared" si="11"/>
        <v>#REF!</v>
      </c>
      <c r="AH19" s="141" t="e">
        <f t="shared" si="12"/>
        <v>#REF!</v>
      </c>
      <c r="AL19" s="195">
        <v>7095472.2800000003</v>
      </c>
      <c r="AM19" s="195" t="e">
        <f t="shared" si="13"/>
        <v>#REF!</v>
      </c>
      <c r="AN19" s="195" t="e">
        <f t="shared" si="14"/>
        <v>#REF!</v>
      </c>
      <c r="AO19" s="1" t="e">
        <f>ROUND(AN19/1000,2)</f>
        <v>#REF!</v>
      </c>
      <c r="AQ19" s="61"/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4"/>
        <v>#REF!</v>
      </c>
      <c r="L20" s="267"/>
      <c r="M20" s="267"/>
      <c r="N20" s="276"/>
      <c r="O20" s="267"/>
      <c r="P20" s="103" t="e">
        <f t="shared" si="18"/>
        <v>#REF!</v>
      </c>
      <c r="Q20" s="18" t="e">
        <f t="shared" si="6"/>
        <v>#REF!</v>
      </c>
      <c r="R20" s="100" t="e">
        <f t="shared" si="19"/>
        <v>#REF!</v>
      </c>
      <c r="S20" s="164">
        <f>4735365.42*3</f>
        <v>14206096.26</v>
      </c>
      <c r="T20" s="154" t="e">
        <f t="shared" si="7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39">
        <v>4771903.41</v>
      </c>
      <c r="AF20" s="141" t="e">
        <f t="shared" si="10"/>
        <v>#REF!</v>
      </c>
      <c r="AG20" s="60" t="e">
        <f t="shared" si="11"/>
        <v>#REF!</v>
      </c>
      <c r="AH20" s="141" t="e">
        <f t="shared" si="12"/>
        <v>#REF!</v>
      </c>
      <c r="AL20" s="195">
        <v>4735517.22</v>
      </c>
      <c r="AM20" s="195" t="e">
        <f t="shared" si="13"/>
        <v>#REF!</v>
      </c>
      <c r="AN20" s="195" t="e">
        <f t="shared" si="14"/>
        <v>#REF!</v>
      </c>
      <c r="AO20" s="1" t="e">
        <f>ROUND(AN20/1000,2)</f>
        <v>#REF!</v>
      </c>
      <c r="AQ20" s="61"/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0"/>
        <v>0</v>
      </c>
      <c r="AG21" s="60"/>
      <c r="AH21" s="141"/>
      <c r="AO21" s="10" t="e">
        <f>SUM(AO9:AO20)</f>
        <v>#REF!</v>
      </c>
      <c r="AP21" s="198" t="s">
        <v>74</v>
      </c>
      <c r="AQ21" s="61">
        <v>971.43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3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0"/>
        <v>#REF!</v>
      </c>
      <c r="AG22" s="142" t="e">
        <f>SUM(AG9:AG21)</f>
        <v>#REF!</v>
      </c>
      <c r="AH22" s="141" t="e">
        <f>SUM(AH9:AH21)</f>
        <v>#REF!</v>
      </c>
      <c r="AO22" s="10">
        <f>21888.75+971.43</f>
        <v>22860.18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45">
        <f>365524540/5*3+21888750+971430+5191060</f>
        <v>247365964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82455321.333333328</v>
      </c>
      <c r="Q23" s="25"/>
      <c r="R23" s="15">
        <f>D23/3</f>
        <v>82455321.333333328</v>
      </c>
      <c r="S23" s="15"/>
      <c r="T23" s="15"/>
      <c r="U23" s="99"/>
      <c r="AF23" s="139" t="e">
        <f>AF22*10</f>
        <v>#REF!</v>
      </c>
      <c r="AN23" s="196" t="e">
        <f>(AN15+AN16)/1000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  <c r="AN24" s="196">
        <v>5191.0600000000004</v>
      </c>
    </row>
    <row r="25" spans="1:44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  <c r="AN25" s="196" t="e">
        <f>AN24-AN23</f>
        <v>#REF!</v>
      </c>
    </row>
    <row r="26" spans="1:44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3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R46"/>
  <sheetViews>
    <sheetView view="pageBreakPreview" zoomScale="60" zoomScaleNormal="53" workbookViewId="0">
      <pane xSplit="3" ySplit="7" topLeftCell="Q8" activePane="bottomRight" state="frozen"/>
      <selection activeCell="C1" sqref="C1"/>
      <selection pane="topRight" activeCell="D1" sqref="D1"/>
      <selection pane="bottomLeft" activeCell="C8" sqref="C8"/>
      <selection pane="bottomRight" activeCell="AQ9" sqref="AQ9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249"/>
      <c r="P1" s="249"/>
      <c r="Q1" s="249"/>
      <c r="R1" s="249"/>
      <c r="S1" s="175"/>
      <c r="T1" s="175"/>
    </row>
    <row r="2" spans="1:44" ht="22.5" customHeight="1" x14ac:dyDescent="0.3">
      <c r="O2" s="250"/>
      <c r="P2" s="250"/>
      <c r="Q2" s="250"/>
      <c r="R2" s="250"/>
      <c r="S2" s="176"/>
      <c r="T2" s="176"/>
    </row>
    <row r="3" spans="1:44" ht="48" customHeight="1" x14ac:dyDescent="0.3">
      <c r="C3" s="251" t="s">
        <v>61</v>
      </c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1"/>
      <c r="P3" s="251"/>
      <c r="Q3" s="2"/>
      <c r="R3" s="2" t="s">
        <v>16</v>
      </c>
      <c r="S3" s="2"/>
      <c r="T3" s="2"/>
    </row>
    <row r="4" spans="1:44" s="3" customFormat="1" ht="43.9" customHeight="1" x14ac:dyDescent="0.3">
      <c r="B4" s="252" t="s">
        <v>7</v>
      </c>
      <c r="C4" s="252" t="s">
        <v>8</v>
      </c>
      <c r="D4" s="253" t="s">
        <v>52</v>
      </c>
      <c r="E4" s="253" t="s">
        <v>58</v>
      </c>
      <c r="F4" s="256" t="s">
        <v>10</v>
      </c>
      <c r="G4" s="257"/>
      <c r="H4" s="257"/>
      <c r="I4" s="257"/>
      <c r="J4" s="257"/>
      <c r="K4" s="257"/>
      <c r="L4" s="257"/>
      <c r="M4" s="258" t="s">
        <v>38</v>
      </c>
      <c r="N4" s="258" t="s">
        <v>42</v>
      </c>
      <c r="O4" s="258" t="s">
        <v>28</v>
      </c>
      <c r="P4" s="262" t="s">
        <v>53</v>
      </c>
      <c r="Q4" s="262" t="s">
        <v>29</v>
      </c>
      <c r="R4" s="262" t="s">
        <v>17</v>
      </c>
      <c r="S4" s="63"/>
      <c r="T4" s="63"/>
      <c r="AE4" s="140"/>
      <c r="AF4" s="140"/>
      <c r="AH4" s="140"/>
      <c r="AL4" s="182"/>
      <c r="AM4" s="182"/>
      <c r="AN4" s="182"/>
      <c r="AO4" s="182"/>
    </row>
    <row r="5" spans="1:44" s="4" customFormat="1" ht="69" customHeight="1" x14ac:dyDescent="0.3">
      <c r="B5" s="252"/>
      <c r="C5" s="252"/>
      <c r="D5" s="254"/>
      <c r="E5" s="254"/>
      <c r="F5" s="258" t="s">
        <v>11</v>
      </c>
      <c r="G5" s="258" t="s">
        <v>48</v>
      </c>
      <c r="H5" s="256" t="s">
        <v>63</v>
      </c>
      <c r="I5" s="257"/>
      <c r="J5" s="261"/>
      <c r="K5" s="262" t="s">
        <v>36</v>
      </c>
      <c r="L5" s="262" t="s">
        <v>37</v>
      </c>
      <c r="M5" s="259"/>
      <c r="N5" s="259"/>
      <c r="O5" s="259"/>
      <c r="P5" s="277"/>
      <c r="Q5" s="277"/>
      <c r="R5" s="277"/>
      <c r="S5" s="63"/>
      <c r="T5" s="268" t="s">
        <v>62</v>
      </c>
      <c r="AE5" s="140"/>
      <c r="AF5" s="140"/>
      <c r="AH5" s="140"/>
      <c r="AL5" s="193"/>
      <c r="AM5" s="193"/>
      <c r="AN5" s="193"/>
      <c r="AO5" s="193"/>
    </row>
    <row r="6" spans="1:44" s="4" customFormat="1" ht="78" customHeight="1" x14ac:dyDescent="0.3">
      <c r="B6" s="252"/>
      <c r="C6" s="252"/>
      <c r="D6" s="255"/>
      <c r="E6" s="255"/>
      <c r="F6" s="260"/>
      <c r="G6" s="260"/>
      <c r="H6" s="177" t="s">
        <v>69</v>
      </c>
      <c r="I6" s="177" t="s">
        <v>64</v>
      </c>
      <c r="J6" s="177" t="s">
        <v>65</v>
      </c>
      <c r="K6" s="263"/>
      <c r="L6" s="263"/>
      <c r="M6" s="260"/>
      <c r="N6" s="260"/>
      <c r="O6" s="260"/>
      <c r="P6" s="263"/>
      <c r="Q6" s="263"/>
      <c r="R6" s="263"/>
      <c r="S6" s="63"/>
      <c r="T6" s="268"/>
      <c r="AE6" s="140"/>
      <c r="AF6" s="140"/>
      <c r="AH6" s="140"/>
      <c r="AL6" s="193"/>
      <c r="AM6" s="193"/>
      <c r="AN6" s="193"/>
      <c r="AO6" s="193"/>
    </row>
    <row r="7" spans="1:44" s="5" customFormat="1" ht="42.75" customHeight="1" x14ac:dyDescent="0.3">
      <c r="B7" s="252"/>
      <c r="C7" s="252"/>
      <c r="D7" s="179" t="s">
        <v>31</v>
      </c>
      <c r="E7" s="174" t="s">
        <v>32</v>
      </c>
      <c r="F7" s="178" t="s">
        <v>15</v>
      </c>
      <c r="G7" s="178" t="s">
        <v>33</v>
      </c>
      <c r="H7" s="178" t="s">
        <v>66</v>
      </c>
      <c r="I7" s="178" t="s">
        <v>67</v>
      </c>
      <c r="J7" s="178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68"/>
      <c r="U7" s="269" t="s">
        <v>18</v>
      </c>
      <c r="V7" s="270"/>
      <c r="AE7" s="139"/>
      <c r="AF7" s="139"/>
      <c r="AH7" s="139" t="s">
        <v>59</v>
      </c>
      <c r="AL7" s="271" t="s">
        <v>60</v>
      </c>
      <c r="AM7" s="271"/>
      <c r="AN7" s="180"/>
      <c r="AO7" s="180"/>
      <c r="AP7" s="159" t="s">
        <v>70</v>
      </c>
      <c r="AQ7" s="10" t="s">
        <v>71</v>
      </c>
      <c r="AR7" s="10" t="s">
        <v>73</v>
      </c>
    </row>
    <row r="8" spans="1:44" s="5" customFormat="1" ht="26.25" customHeight="1" x14ac:dyDescent="0.3">
      <c r="B8" s="173">
        <v>1</v>
      </c>
      <c r="C8" s="173">
        <v>2</v>
      </c>
      <c r="D8" s="174">
        <v>3</v>
      </c>
      <c r="E8" s="174">
        <v>4</v>
      </c>
      <c r="F8" s="177">
        <v>5</v>
      </c>
      <c r="G8" s="177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81"/>
      <c r="T8" s="181"/>
      <c r="AE8" s="139"/>
      <c r="AF8" s="139"/>
      <c r="AH8" s="139"/>
      <c r="AL8" s="194"/>
      <c r="AM8" s="194"/>
      <c r="AN8" s="194"/>
      <c r="AO8" s="194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+роддом 991,43)'!E22/3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72" t="e">
        <f>V14/X14</f>
        <v>#REF!</v>
      </c>
      <c r="M9" s="272" t="e">
        <f>D9*L9</f>
        <v>#REF!</v>
      </c>
      <c r="N9" s="274" t="e">
        <f>R22/R23</f>
        <v>#REF!</v>
      </c>
      <c r="O9" s="272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1">
        <f>10475186.09*5</f>
        <v>52375930.450000003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5">
        <v>10474961.01</v>
      </c>
      <c r="AM9" s="195" t="e">
        <f>P9-AL9</f>
        <v>#REF!</v>
      </c>
      <c r="AN9" s="195" t="e">
        <f>AM9*3</f>
        <v>#REF!</v>
      </c>
      <c r="AO9" s="1" t="e">
        <f t="shared" ref="AO9:AO16" si="3">ROUND(AN9/1000,2)</f>
        <v>#REF!</v>
      </c>
      <c r="AP9" s="1">
        <v>21888.75</v>
      </c>
      <c r="AQ9" s="196" t="e">
        <f>AP9-AO9</f>
        <v>#REF!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4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5">F10*G10*H10*J10*I10</f>
        <v>#REF!</v>
      </c>
      <c r="L10" s="273"/>
      <c r="M10" s="273"/>
      <c r="N10" s="275"/>
      <c r="O10" s="273"/>
      <c r="P10" s="69" t="e">
        <f t="shared" ref="P10:P14" si="6">ROUND($O$9*E10,2)</f>
        <v>#REF!</v>
      </c>
      <c r="Q10" s="18" t="e">
        <f t="shared" ref="Q10:Q20" si="7">ROUND(P10*3,2)</f>
        <v>#REF!</v>
      </c>
      <c r="R10" s="100" t="e">
        <f t="shared" si="0"/>
        <v>#REF!</v>
      </c>
      <c r="S10" s="162">
        <f>4876887.05*5</f>
        <v>24384435.25</v>
      </c>
      <c r="T10" s="154" t="e">
        <f t="shared" ref="T10:T20" si="8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9">AA10-Z10</f>
        <v>-789048</v>
      </c>
      <c r="AC10" s="42" t="e">
        <f t="shared" ref="AC10:AC20" si="10">Z10-Q10</f>
        <v>#REF!</v>
      </c>
      <c r="AE10" s="139">
        <v>4919311.38</v>
      </c>
      <c r="AF10" s="141" t="e">
        <f t="shared" ref="AF10:AF22" si="11">P10-AE10</f>
        <v>#REF!</v>
      </c>
      <c r="AG10" s="60" t="e">
        <f t="shared" ref="AG10:AG20" si="12">ROUND(AF10*10/1000,3)</f>
        <v>#REF!</v>
      </c>
      <c r="AH10" s="141" t="e">
        <f t="shared" ref="AH10:AH20" si="13">ROUND(Q10/1000,2)</f>
        <v>#REF!</v>
      </c>
      <c r="AL10" s="195">
        <v>4876782.2699999996</v>
      </c>
      <c r="AM10" s="195" t="e">
        <f t="shared" ref="AM10:AM20" si="14">P10-AL10</f>
        <v>#REF!</v>
      </c>
      <c r="AN10" s="197" t="e">
        <f t="shared" ref="AN10:AN20" si="15">AM10*3</f>
        <v>#REF!</v>
      </c>
      <c r="AO10" s="1" t="e">
        <f t="shared" si="3"/>
        <v>#REF!</v>
      </c>
      <c r="AP10" s="264"/>
      <c r="AQ10" s="1" t="e">
        <f>-AO10</f>
        <v>#REF!</v>
      </c>
    </row>
    <row r="11" spans="1:44" ht="43.9" customHeight="1" x14ac:dyDescent="0.3">
      <c r="B11" s="20">
        <v>4</v>
      </c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5"/>
        <v>#REF!</v>
      </c>
      <c r="L11" s="273"/>
      <c r="M11" s="273"/>
      <c r="N11" s="275"/>
      <c r="O11" s="273"/>
      <c r="P11" s="69" t="e">
        <f t="shared" si="6"/>
        <v>#REF!</v>
      </c>
      <c r="Q11" s="18" t="e">
        <f t="shared" si="7"/>
        <v>#REF!</v>
      </c>
      <c r="R11" s="100" t="e">
        <f t="shared" si="0"/>
        <v>#REF!</v>
      </c>
      <c r="S11" s="162">
        <f>1567117.87*5</f>
        <v>7835589.3500000006</v>
      </c>
      <c r="T11" s="154" t="e">
        <f t="shared" si="8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9"/>
        <v>-254221.3200000003</v>
      </c>
      <c r="AC11" s="42" t="e">
        <f t="shared" si="10"/>
        <v>#REF!</v>
      </c>
      <c r="AE11" s="139">
        <v>1584940.64</v>
      </c>
      <c r="AF11" s="141" t="e">
        <f t="shared" si="11"/>
        <v>#REF!</v>
      </c>
      <c r="AG11" s="60" t="e">
        <f t="shared" si="12"/>
        <v>#REF!</v>
      </c>
      <c r="AH11" s="141" t="e">
        <f t="shared" si="13"/>
        <v>#REF!</v>
      </c>
      <c r="AL11" s="195">
        <v>1567084.2</v>
      </c>
      <c r="AM11" s="195" t="e">
        <f t="shared" si="14"/>
        <v>#REF!</v>
      </c>
      <c r="AN11" s="197" t="e">
        <f t="shared" si="15"/>
        <v>#REF!</v>
      </c>
      <c r="AO11" s="1" t="e">
        <f t="shared" si="3"/>
        <v>#REF!</v>
      </c>
      <c r="AP11" s="264"/>
      <c r="AQ11" s="1" t="e">
        <f t="shared" ref="AQ11:AQ14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3">
        <v>1.0339</v>
      </c>
      <c r="I12" s="144">
        <v>1</v>
      </c>
      <c r="J12" s="144">
        <v>1</v>
      </c>
      <c r="K12" s="131" t="e">
        <f t="shared" si="5"/>
        <v>#REF!</v>
      </c>
      <c r="L12" s="273"/>
      <c r="M12" s="273"/>
      <c r="N12" s="275"/>
      <c r="O12" s="273"/>
      <c r="P12" s="69" t="e">
        <f t="shared" si="6"/>
        <v>#REF!</v>
      </c>
      <c r="Q12" s="18" t="e">
        <f t="shared" si="7"/>
        <v>#REF!</v>
      </c>
      <c r="R12" s="100" t="e">
        <f t="shared" si="0"/>
        <v>#REF!</v>
      </c>
      <c r="S12" s="162">
        <f>5014878.65*5</f>
        <v>25074393.25</v>
      </c>
      <c r="T12" s="154" t="e">
        <f t="shared" si="8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9"/>
        <v>-819459.23999999464</v>
      </c>
      <c r="AC12" s="42" t="e">
        <f t="shared" si="10"/>
        <v>#REF!</v>
      </c>
      <c r="AE12" s="139">
        <v>5108909.84</v>
      </c>
      <c r="AF12" s="141" t="e">
        <f t="shared" si="11"/>
        <v>#REF!</v>
      </c>
      <c r="AG12" s="60" t="e">
        <f t="shared" si="12"/>
        <v>#REF!</v>
      </c>
      <c r="AH12" s="141" t="e">
        <f>ROUND(Q12/1000,2)-0.01</f>
        <v>#REF!</v>
      </c>
      <c r="AL12" s="195">
        <v>5014770.9000000004</v>
      </c>
      <c r="AM12" s="195" t="e">
        <f t="shared" si="14"/>
        <v>#REF!</v>
      </c>
      <c r="AN12" s="197" t="e">
        <f t="shared" si="15"/>
        <v>#REF!</v>
      </c>
      <c r="AO12" s="1" t="e">
        <f t="shared" si="3"/>
        <v>#REF!</v>
      </c>
      <c r="AP12" s="264"/>
      <c r="AQ12" s="1" t="e">
        <f t="shared" si="17"/>
        <v>#REF!</v>
      </c>
    </row>
    <row r="13" spans="1:44" ht="43.9" customHeight="1" x14ac:dyDescent="0.3">
      <c r="B13" s="20">
        <v>6</v>
      </c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44">
        <v>1</v>
      </c>
      <c r="J13" s="144">
        <v>1</v>
      </c>
      <c r="K13" s="131" t="e">
        <f t="shared" si="5"/>
        <v>#REF!</v>
      </c>
      <c r="L13" s="273"/>
      <c r="M13" s="273"/>
      <c r="N13" s="275"/>
      <c r="O13" s="273"/>
      <c r="P13" s="69" t="e">
        <f t="shared" si="6"/>
        <v>#REF!</v>
      </c>
      <c r="Q13" s="18" t="e">
        <f t="shared" si="7"/>
        <v>#REF!</v>
      </c>
      <c r="R13" s="100" t="e">
        <f t="shared" si="0"/>
        <v>#REF!</v>
      </c>
      <c r="S13" s="162">
        <f>2732436.67*5</f>
        <v>13662183.35</v>
      </c>
      <c r="T13" s="154" t="e">
        <f t="shared" si="8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9"/>
        <v>-444414.83999999985</v>
      </c>
      <c r="AC13" s="42" t="e">
        <f t="shared" si="10"/>
        <v>#REF!</v>
      </c>
      <c r="AE13" s="139">
        <v>2770699.65</v>
      </c>
      <c r="AF13" s="141" t="e">
        <f t="shared" si="11"/>
        <v>#REF!</v>
      </c>
      <c r="AG13" s="60" t="e">
        <f t="shared" si="12"/>
        <v>#REF!</v>
      </c>
      <c r="AH13" s="141" t="e">
        <f>ROUND(Q13/1000,2)-0.01</f>
        <v>#REF!</v>
      </c>
      <c r="AL13" s="195">
        <v>2732377.96</v>
      </c>
      <c r="AM13" s="195" t="e">
        <f t="shared" si="14"/>
        <v>#REF!</v>
      </c>
      <c r="AN13" s="197" t="e">
        <f t="shared" si="15"/>
        <v>#REF!</v>
      </c>
      <c r="AO13" s="1" t="e">
        <f t="shared" si="3"/>
        <v>#REF!</v>
      </c>
      <c r="AP13" s="264"/>
      <c r="AQ13" s="1" t="e">
        <f t="shared" si="17"/>
        <v>#REF!</v>
      </c>
    </row>
    <row r="14" spans="1:44" ht="43.9" customHeight="1" x14ac:dyDescent="0.3">
      <c r="B14" s="20">
        <v>8</v>
      </c>
      <c r="C14" s="9" t="s">
        <v>50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3">
        <v>1.0364</v>
      </c>
      <c r="I14" s="144">
        <v>1</v>
      </c>
      <c r="J14" s="144">
        <v>1</v>
      </c>
      <c r="K14" s="131" t="e">
        <f t="shared" si="5"/>
        <v>#REF!</v>
      </c>
      <c r="L14" s="273"/>
      <c r="M14" s="273"/>
      <c r="N14" s="275"/>
      <c r="O14" s="273"/>
      <c r="P14" s="69" t="e">
        <f t="shared" si="6"/>
        <v>#REF!</v>
      </c>
      <c r="Q14" s="18" t="e">
        <f t="shared" si="7"/>
        <v>#REF!</v>
      </c>
      <c r="R14" s="100" t="e">
        <f t="shared" si="0"/>
        <v>#REF!</v>
      </c>
      <c r="S14" s="162">
        <f>4078362.11*5</f>
        <v>20391810.550000001</v>
      </c>
      <c r="T14" s="154" t="e">
        <f t="shared" si="8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5">
        <v>4078274.49</v>
      </c>
      <c r="AM14" s="195" t="e">
        <f>P14-AL14</f>
        <v>#REF!</v>
      </c>
      <c r="AN14" s="197" t="e">
        <f t="shared" si="15"/>
        <v>#REF!</v>
      </c>
      <c r="AO14" s="1" t="e">
        <f t="shared" si="3"/>
        <v>#REF!</v>
      </c>
      <c r="AP14" s="264"/>
      <c r="AQ14" s="1" t="e">
        <f t="shared" si="17"/>
        <v>#REF!</v>
      </c>
    </row>
    <row r="15" spans="1:44" ht="43.9" customHeight="1" x14ac:dyDescent="0.3">
      <c r="B15" s="170">
        <v>3</v>
      </c>
      <c r="C15" s="171" t="s">
        <v>12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67">
        <v>1</v>
      </c>
      <c r="J15" s="172">
        <v>4.1276000000000002</v>
      </c>
      <c r="K15" s="131" t="e">
        <f t="shared" si="5"/>
        <v>#REF!</v>
      </c>
      <c r="L15" s="169" t="e">
        <f>U15/W15</f>
        <v>#REF!</v>
      </c>
      <c r="M15" s="169" t="e">
        <f>D15*L15</f>
        <v>#REF!</v>
      </c>
      <c r="N15" s="275"/>
      <c r="O15" s="169" t="e">
        <f>M15/$N$9</f>
        <v>#REF!</v>
      </c>
      <c r="P15" s="69" t="e">
        <f>ROUND($O$15*E15,2)</f>
        <v>#REF!</v>
      </c>
      <c r="Q15" s="18" t="e">
        <f t="shared" si="7"/>
        <v>#REF!</v>
      </c>
      <c r="R15" s="100" t="e">
        <f>$M$15*E15</f>
        <v>#REF!</v>
      </c>
      <c r="S15" s="162">
        <f>4172724.02*5+45910270</f>
        <v>66773890.100000001</v>
      </c>
      <c r="T15" s="168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5">
        <v>13355615.890000001</v>
      </c>
      <c r="AM15" s="195" t="e">
        <f>P15-AL15</f>
        <v>#REF!</v>
      </c>
      <c r="AN15" s="195" t="e">
        <f t="shared" si="15"/>
        <v>#REF!</v>
      </c>
      <c r="AO15" s="1" t="e">
        <f t="shared" si="3"/>
        <v>#REF!</v>
      </c>
    </row>
    <row r="16" spans="1:44" ht="43.9" customHeight="1" x14ac:dyDescent="0.3">
      <c r="B16" s="158">
        <v>7</v>
      </c>
      <c r="C16" s="160" t="s">
        <v>5</v>
      </c>
      <c r="D16" s="16" t="e">
        <f t="shared" si="4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3">
        <v>1.0707</v>
      </c>
      <c r="I16" s="166">
        <v>1.1736</v>
      </c>
      <c r="J16" s="166">
        <v>4.2016999999999998</v>
      </c>
      <c r="K16" s="123" t="e">
        <f t="shared" si="5"/>
        <v>#REF!</v>
      </c>
      <c r="L16" s="169" t="e">
        <f>U16/W16</f>
        <v>#REF!</v>
      </c>
      <c r="M16" s="169" t="e">
        <f>D16*L16</f>
        <v>#REF!</v>
      </c>
      <c r="N16" s="275"/>
      <c r="O16" s="169" t="e">
        <f>M16/$N$9</f>
        <v>#REF!</v>
      </c>
      <c r="P16" s="69" t="e">
        <f>ROUND($O$16*E16,2)</f>
        <v>#REF!</v>
      </c>
      <c r="Q16" s="18" t="e">
        <f t="shared" si="7"/>
        <v>#REF!</v>
      </c>
      <c r="R16" s="100" t="e">
        <f>$M$16*E16</f>
        <v>#REF!</v>
      </c>
      <c r="S16" s="162">
        <f>2362598.88*5+30046440+7258420</f>
        <v>49117854.399999999</v>
      </c>
      <c r="T16" s="165" t="e">
        <f t="shared" si="8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9"/>
        <v>-383592.36000000313</v>
      </c>
      <c r="AC16" s="42" t="e">
        <f t="shared" si="10"/>
        <v>#REF!</v>
      </c>
      <c r="AE16" s="139">
        <v>2391502.73</v>
      </c>
      <c r="AF16" s="141" t="e">
        <f t="shared" si="11"/>
        <v>#REF!</v>
      </c>
      <c r="AG16" s="60" t="e">
        <f t="shared" si="12"/>
        <v>#REF!</v>
      </c>
      <c r="AH16" s="141" t="e">
        <f t="shared" si="13"/>
        <v>#REF!</v>
      </c>
      <c r="AL16" s="195">
        <v>9822671.6400000006</v>
      </c>
      <c r="AM16" s="195" t="e">
        <f t="shared" si="14"/>
        <v>#REF!</v>
      </c>
      <c r="AN16" s="195" t="e">
        <f t="shared" si="15"/>
        <v>#REF!</v>
      </c>
      <c r="AO16" s="1" t="e">
        <f t="shared" si="3"/>
        <v>#REF!</v>
      </c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5"/>
        <v>#REF!</v>
      </c>
      <c r="L17" s="265" t="e">
        <f>V20/X20</f>
        <v>#REF!</v>
      </c>
      <c r="M17" s="265" t="e">
        <f>ROUND(D18*L17,2)</f>
        <v>#REF!</v>
      </c>
      <c r="N17" s="275"/>
      <c r="O17" s="265" t="e">
        <f>M17/N9</f>
        <v>#REF!</v>
      </c>
      <c r="P17" s="103" t="e">
        <f>ROUND($O$17*E17,2)</f>
        <v>#REF!</v>
      </c>
      <c r="Q17" s="18" t="e">
        <f t="shared" si="7"/>
        <v>#REF!</v>
      </c>
      <c r="R17" s="100" t="e">
        <f>$M$17*E17</f>
        <v>#REF!</v>
      </c>
      <c r="S17" s="162">
        <f>1020725.2*5</f>
        <v>5103626</v>
      </c>
      <c r="T17" s="154" t="e">
        <f t="shared" si="8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5">
        <v>1020757.92</v>
      </c>
      <c r="AM17" s="195" t="e">
        <f t="shared" si="14"/>
        <v>#REF!</v>
      </c>
      <c r="AN17" s="195" t="e">
        <f t="shared" si="15"/>
        <v>#REF!</v>
      </c>
      <c r="AO17" s="1" t="e">
        <f>ROUND(AN17/1000,2)</f>
        <v>#REF!</v>
      </c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5"/>
        <v>#REF!</v>
      </c>
      <c r="L18" s="266"/>
      <c r="M18" s="266"/>
      <c r="N18" s="275"/>
      <c r="O18" s="266"/>
      <c r="P18" s="103" t="e">
        <f t="shared" ref="P18:P20" si="18">ROUND($O$17*E18,2)</f>
        <v>#REF!</v>
      </c>
      <c r="Q18" s="18" t="e">
        <f t="shared" si="7"/>
        <v>#REF!</v>
      </c>
      <c r="R18" s="100" t="e">
        <f t="shared" ref="R18:R20" si="19">$M$17*E18</f>
        <v>#REF!</v>
      </c>
      <c r="S18" s="162">
        <f>8330355.19*5</f>
        <v>41651775.950000003</v>
      </c>
      <c r="T18" s="154" t="e">
        <f t="shared" si="8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9"/>
        <v>2251608</v>
      </c>
      <c r="AC18" s="42" t="e">
        <f t="shared" si="10"/>
        <v>#REF!</v>
      </c>
      <c r="AE18" s="139">
        <v>8357741.0300000003</v>
      </c>
      <c r="AF18" s="141" t="e">
        <f t="shared" si="11"/>
        <v>#REF!</v>
      </c>
      <c r="AG18" s="60" t="e">
        <f t="shared" si="12"/>
        <v>#REF!</v>
      </c>
      <c r="AH18" s="141" t="e">
        <f t="shared" si="13"/>
        <v>#REF!</v>
      </c>
      <c r="AL18" s="195">
        <v>8330622.2199999997</v>
      </c>
      <c r="AM18" s="195" t="e">
        <f t="shared" si="14"/>
        <v>#REF!</v>
      </c>
      <c r="AN18" s="195" t="e">
        <f t="shared" si="15"/>
        <v>#REF!</v>
      </c>
      <c r="AO18" s="1" t="e">
        <f>ROUND(AN18/1000,2)</f>
        <v>#REF!</v>
      </c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5"/>
        <v>#REF!</v>
      </c>
      <c r="L19" s="266"/>
      <c r="M19" s="266"/>
      <c r="N19" s="275"/>
      <c r="O19" s="266"/>
      <c r="P19" s="103" t="e">
        <f t="shared" si="18"/>
        <v>#REF!</v>
      </c>
      <c r="Q19" s="18" t="e">
        <f t="shared" si="7"/>
        <v>#REF!</v>
      </c>
      <c r="R19" s="100" t="e">
        <f t="shared" si="19"/>
        <v>#REF!</v>
      </c>
      <c r="S19" s="162">
        <f>7095244.85*5</f>
        <v>35476224.25</v>
      </c>
      <c r="T19" s="154" t="e">
        <f t="shared" si="8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9"/>
        <v>1921902.9600000083</v>
      </c>
      <c r="AC19" s="42" t="e">
        <f t="shared" si="10"/>
        <v>#REF!</v>
      </c>
      <c r="AE19" s="139">
        <v>7133909.4000000004</v>
      </c>
      <c r="AF19" s="141" t="e">
        <f t="shared" si="11"/>
        <v>#REF!</v>
      </c>
      <c r="AG19" s="60" t="e">
        <f t="shared" si="12"/>
        <v>#REF!</v>
      </c>
      <c r="AH19" s="141" t="e">
        <f t="shared" si="13"/>
        <v>#REF!</v>
      </c>
      <c r="AL19" s="195">
        <v>7095472.2800000003</v>
      </c>
      <c r="AM19" s="195" t="e">
        <f t="shared" si="14"/>
        <v>#REF!</v>
      </c>
      <c r="AN19" s="195" t="e">
        <f t="shared" si="15"/>
        <v>#REF!</v>
      </c>
      <c r="AO19" s="1" t="e">
        <f>ROUND(AN19/1000,2)</f>
        <v>#REF!</v>
      </c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5"/>
        <v>#REF!</v>
      </c>
      <c r="L20" s="267"/>
      <c r="M20" s="267"/>
      <c r="N20" s="276"/>
      <c r="O20" s="267"/>
      <c r="P20" s="103" t="e">
        <f t="shared" si="18"/>
        <v>#REF!</v>
      </c>
      <c r="Q20" s="18" t="e">
        <f t="shared" si="7"/>
        <v>#REF!</v>
      </c>
      <c r="R20" s="100" t="e">
        <f t="shared" si="19"/>
        <v>#REF!</v>
      </c>
      <c r="S20" s="164">
        <f>4735365.42*5</f>
        <v>23676827.100000001</v>
      </c>
      <c r="T20" s="154" t="e">
        <f t="shared" si="8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9"/>
        <v>1285569.3599999994</v>
      </c>
      <c r="AC20" s="42" t="e">
        <f t="shared" si="10"/>
        <v>#REF!</v>
      </c>
      <c r="AE20" s="139">
        <v>4771903.41</v>
      </c>
      <c r="AF20" s="141" t="e">
        <f t="shared" si="11"/>
        <v>#REF!</v>
      </c>
      <c r="AG20" s="60" t="e">
        <f t="shared" si="12"/>
        <v>#REF!</v>
      </c>
      <c r="AH20" s="141" t="e">
        <f t="shared" si="13"/>
        <v>#REF!</v>
      </c>
      <c r="AL20" s="195">
        <v>4735517.22</v>
      </c>
      <c r="AM20" s="195" t="e">
        <f t="shared" si="14"/>
        <v>#REF!</v>
      </c>
      <c r="AN20" s="195" t="e">
        <f t="shared" si="15"/>
        <v>#REF!</v>
      </c>
      <c r="AO20" s="1" t="e">
        <f>ROUND(AN20/1000,2)</f>
        <v>#REF!</v>
      </c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1"/>
        <v>0</v>
      </c>
      <c r="AG21" s="60"/>
      <c r="AH21" s="141"/>
      <c r="AO21" s="10" t="e">
        <f>SUM(AO9:AO20)</f>
        <v>#REF!</v>
      </c>
      <c r="AP21" s="198" t="s">
        <v>74</v>
      </c>
      <c r="AQ21" s="1">
        <v>991.43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3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1"/>
        <v>#REF!</v>
      </c>
      <c r="AG22" s="142" t="e">
        <f>SUM(AG9:AG21)</f>
        <v>#REF!</v>
      </c>
      <c r="AH22" s="141" t="e">
        <f>SUM(AH9:AH21)</f>
        <v>#REF!</v>
      </c>
      <c r="AO22" s="10">
        <f>21888.75+991.43</f>
        <v>22880.18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45">
        <f>365524540/5*3+21888750+991430</f>
        <v>242194904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80731634.666666672</v>
      </c>
      <c r="Q23" s="25"/>
      <c r="R23" s="15">
        <f>D23/3</f>
        <v>80731634.666666672</v>
      </c>
      <c r="S23" s="15"/>
      <c r="T23" s="15"/>
      <c r="U23" s="99"/>
      <c r="AF23" s="139" t="e">
        <f>AF22*10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4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4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3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Q46"/>
  <sheetViews>
    <sheetView view="pageBreakPreview" zoomScale="60" zoomScaleNormal="53" workbookViewId="0">
      <pane xSplit="3" ySplit="7" topLeftCell="D14" activePane="bottomRight" state="frozen"/>
      <selection activeCell="C1" sqref="C1"/>
      <selection pane="topRight" activeCell="D1" sqref="D1"/>
      <selection pane="bottomLeft" activeCell="C8" sqref="C8"/>
      <selection pane="bottomRight" activeCell="D23" sqref="D23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3.28515625" style="1" customWidth="1"/>
    <col min="42" max="42" width="18.42578125" style="1" bestFit="1" customWidth="1"/>
    <col min="43" max="43" width="30.85546875" style="1" customWidth="1"/>
    <col min="44" max="16384" width="9.140625" style="1"/>
  </cols>
  <sheetData>
    <row r="1" spans="1:43" ht="18" customHeight="1" x14ac:dyDescent="0.3">
      <c r="O1" s="249"/>
      <c r="P1" s="249"/>
      <c r="Q1" s="249"/>
      <c r="R1" s="249"/>
      <c r="S1" s="175"/>
      <c r="T1" s="175"/>
    </row>
    <row r="2" spans="1:43" ht="22.5" customHeight="1" x14ac:dyDescent="0.3">
      <c r="O2" s="250"/>
      <c r="P2" s="250"/>
      <c r="Q2" s="250"/>
      <c r="R2" s="250"/>
      <c r="S2" s="176"/>
      <c r="T2" s="176"/>
    </row>
    <row r="3" spans="1:43" ht="48" customHeight="1" x14ac:dyDescent="0.3">
      <c r="C3" s="251" t="s">
        <v>61</v>
      </c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1"/>
      <c r="P3" s="251"/>
      <c r="Q3" s="2"/>
      <c r="R3" s="2" t="s">
        <v>16</v>
      </c>
      <c r="S3" s="2"/>
      <c r="T3" s="2"/>
    </row>
    <row r="4" spans="1:43" s="3" customFormat="1" ht="43.9" customHeight="1" x14ac:dyDescent="0.3">
      <c r="B4" s="252" t="s">
        <v>7</v>
      </c>
      <c r="C4" s="252" t="s">
        <v>8</v>
      </c>
      <c r="D4" s="253" t="s">
        <v>52</v>
      </c>
      <c r="E4" s="253" t="s">
        <v>58</v>
      </c>
      <c r="F4" s="256" t="s">
        <v>10</v>
      </c>
      <c r="G4" s="257"/>
      <c r="H4" s="257"/>
      <c r="I4" s="257"/>
      <c r="J4" s="257"/>
      <c r="K4" s="257"/>
      <c r="L4" s="257"/>
      <c r="M4" s="258" t="s">
        <v>38</v>
      </c>
      <c r="N4" s="258" t="s">
        <v>42</v>
      </c>
      <c r="O4" s="258" t="s">
        <v>28</v>
      </c>
      <c r="P4" s="262" t="s">
        <v>53</v>
      </c>
      <c r="Q4" s="262" t="s">
        <v>29</v>
      </c>
      <c r="R4" s="262" t="s">
        <v>17</v>
      </c>
      <c r="S4" s="63"/>
      <c r="T4" s="63"/>
      <c r="AE4" s="140"/>
      <c r="AF4" s="140"/>
      <c r="AH4" s="140"/>
      <c r="AL4" s="182"/>
      <c r="AM4" s="182"/>
      <c r="AN4" s="182"/>
    </row>
    <row r="5" spans="1:43" s="4" customFormat="1" ht="69" customHeight="1" x14ac:dyDescent="0.3">
      <c r="B5" s="252"/>
      <c r="C5" s="252"/>
      <c r="D5" s="254"/>
      <c r="E5" s="254"/>
      <c r="F5" s="258" t="s">
        <v>11</v>
      </c>
      <c r="G5" s="258" t="s">
        <v>48</v>
      </c>
      <c r="H5" s="256" t="s">
        <v>63</v>
      </c>
      <c r="I5" s="257"/>
      <c r="J5" s="261"/>
      <c r="K5" s="262" t="s">
        <v>36</v>
      </c>
      <c r="L5" s="262" t="s">
        <v>37</v>
      </c>
      <c r="M5" s="259"/>
      <c r="N5" s="259"/>
      <c r="O5" s="259"/>
      <c r="P5" s="277"/>
      <c r="Q5" s="277"/>
      <c r="R5" s="277"/>
      <c r="S5" s="63"/>
      <c r="T5" s="268" t="s">
        <v>62</v>
      </c>
      <c r="AE5" s="140"/>
      <c r="AF5" s="140"/>
      <c r="AH5" s="140"/>
      <c r="AL5" s="193"/>
      <c r="AM5" s="193"/>
      <c r="AN5" s="193"/>
    </row>
    <row r="6" spans="1:43" s="4" customFormat="1" ht="78" customHeight="1" x14ac:dyDescent="0.3">
      <c r="B6" s="252"/>
      <c r="C6" s="252"/>
      <c r="D6" s="255"/>
      <c r="E6" s="255"/>
      <c r="F6" s="260"/>
      <c r="G6" s="260"/>
      <c r="H6" s="177" t="s">
        <v>69</v>
      </c>
      <c r="I6" s="177" t="s">
        <v>64</v>
      </c>
      <c r="J6" s="177" t="s">
        <v>65</v>
      </c>
      <c r="K6" s="263"/>
      <c r="L6" s="263"/>
      <c r="M6" s="260"/>
      <c r="N6" s="260"/>
      <c r="O6" s="260"/>
      <c r="P6" s="263"/>
      <c r="Q6" s="263"/>
      <c r="R6" s="263"/>
      <c r="S6" s="63"/>
      <c r="T6" s="268"/>
      <c r="AE6" s="140"/>
      <c r="AF6" s="140"/>
      <c r="AH6" s="140"/>
      <c r="AL6" s="193"/>
      <c r="AM6" s="193"/>
      <c r="AN6" s="193"/>
    </row>
    <row r="7" spans="1:43" s="5" customFormat="1" ht="42.75" customHeight="1" x14ac:dyDescent="0.3">
      <c r="B7" s="252"/>
      <c r="C7" s="252"/>
      <c r="D7" s="179" t="s">
        <v>31</v>
      </c>
      <c r="E7" s="174" t="s">
        <v>32</v>
      </c>
      <c r="F7" s="178" t="s">
        <v>15</v>
      </c>
      <c r="G7" s="178" t="s">
        <v>33</v>
      </c>
      <c r="H7" s="178" t="s">
        <v>66</v>
      </c>
      <c r="I7" s="178" t="s">
        <v>67</v>
      </c>
      <c r="J7" s="178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68"/>
      <c r="U7" s="269" t="s">
        <v>18</v>
      </c>
      <c r="V7" s="270"/>
      <c r="AE7" s="139"/>
      <c r="AF7" s="139"/>
      <c r="AH7" s="139" t="s">
        <v>59</v>
      </c>
      <c r="AL7" s="271" t="s">
        <v>60</v>
      </c>
      <c r="AM7" s="271"/>
      <c r="AN7" s="180"/>
      <c r="AO7" s="159" t="s">
        <v>70</v>
      </c>
      <c r="AP7" s="159"/>
    </row>
    <row r="8" spans="1:43" s="5" customFormat="1" ht="26.25" customHeight="1" x14ac:dyDescent="0.3">
      <c r="B8" s="173">
        <v>1</v>
      </c>
      <c r="C8" s="173">
        <v>2</v>
      </c>
      <c r="D8" s="174">
        <v>3</v>
      </c>
      <c r="E8" s="174">
        <v>4</v>
      </c>
      <c r="F8" s="177">
        <v>5</v>
      </c>
      <c r="G8" s="177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81"/>
      <c r="T8" s="181"/>
      <c r="AE8" s="139"/>
      <c r="AF8" s="139"/>
      <c r="AH8" s="139"/>
      <c r="AL8" s="194"/>
      <c r="AM8" s="194"/>
      <c r="AN8" s="194"/>
    </row>
    <row r="9" spans="1:43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в подушевой)'!E22/3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72" t="e">
        <f>V14/X14</f>
        <v>#REF!</v>
      </c>
      <c r="M9" s="272" t="e">
        <f>D9*L9</f>
        <v>#REF!</v>
      </c>
      <c r="N9" s="274" t="e">
        <f>R22/R23</f>
        <v>#REF!</v>
      </c>
      <c r="O9" s="272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1">
        <f>10475186.09*5</f>
        <v>52375930.450000003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5">
        <v>10474961.01</v>
      </c>
      <c r="AM9" s="195" t="e">
        <f>P9-AL9</f>
        <v>#REF!</v>
      </c>
      <c r="AN9" s="195" t="e">
        <f>AM9*3</f>
        <v>#REF!</v>
      </c>
      <c r="AO9" s="1">
        <v>21888750</v>
      </c>
      <c r="AP9" s="196" t="e">
        <f>AO9-AN9</f>
        <v>#REF!</v>
      </c>
      <c r="AQ9" s="10" t="s">
        <v>71</v>
      </c>
    </row>
    <row r="10" spans="1:43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4">F10*G10*H10*J10*I10</f>
        <v>#REF!</v>
      </c>
      <c r="L10" s="273"/>
      <c r="M10" s="273"/>
      <c r="N10" s="275"/>
      <c r="O10" s="273"/>
      <c r="P10" s="69" t="e">
        <f t="shared" ref="P10:P14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62">
        <f>4876887.05*5</f>
        <v>24384435.25</v>
      </c>
      <c r="T10" s="154" t="e">
        <f t="shared" ref="T10:T20" si="7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39">
        <v>4919311.38</v>
      </c>
      <c r="AF10" s="141" t="e">
        <f t="shared" ref="AF10:AF22" si="10">P10-AE10</f>
        <v>#REF!</v>
      </c>
      <c r="AG10" s="60" t="e">
        <f t="shared" ref="AG10:AG20" si="11">ROUND(AF10*10/1000,3)</f>
        <v>#REF!</v>
      </c>
      <c r="AH10" s="141" t="e">
        <f t="shared" ref="AH10:AH20" si="12">ROUND(Q10/1000,2)</f>
        <v>#REF!</v>
      </c>
      <c r="AL10" s="195">
        <v>4876782.2699999996</v>
      </c>
      <c r="AM10" s="195" t="e">
        <f t="shared" ref="AM10:AM20" si="13">P10-AL10</f>
        <v>#REF!</v>
      </c>
      <c r="AN10" s="197" t="e">
        <f t="shared" ref="AN10:AN20" si="14">AM10*3</f>
        <v>#REF!</v>
      </c>
      <c r="AO10" s="264" t="s">
        <v>72</v>
      </c>
    </row>
    <row r="11" spans="1:43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5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4"/>
        <v>#REF!</v>
      </c>
      <c r="L11" s="273"/>
      <c r="M11" s="273"/>
      <c r="N11" s="275"/>
      <c r="O11" s="273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62">
        <f>1567117.87*5</f>
        <v>7835589.3500000006</v>
      </c>
      <c r="T11" s="154" t="e">
        <f t="shared" si="7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39">
        <v>1584940.64</v>
      </c>
      <c r="AF11" s="141" t="e">
        <f t="shared" si="10"/>
        <v>#REF!</v>
      </c>
      <c r="AG11" s="60" t="e">
        <f t="shared" si="11"/>
        <v>#REF!</v>
      </c>
      <c r="AH11" s="141" t="e">
        <f t="shared" si="12"/>
        <v>#REF!</v>
      </c>
      <c r="AL11" s="195">
        <v>1567084.2</v>
      </c>
      <c r="AM11" s="195" t="e">
        <f t="shared" si="13"/>
        <v>#REF!</v>
      </c>
      <c r="AN11" s="197" t="e">
        <f t="shared" si="14"/>
        <v>#REF!</v>
      </c>
      <c r="AO11" s="264"/>
    </row>
    <row r="12" spans="1:43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5"/>
        <v>1.05</v>
      </c>
      <c r="H12" s="143">
        <v>1.0339</v>
      </c>
      <c r="I12" s="144">
        <v>1</v>
      </c>
      <c r="J12" s="144">
        <v>1</v>
      </c>
      <c r="K12" s="131" t="e">
        <f t="shared" si="4"/>
        <v>#REF!</v>
      </c>
      <c r="L12" s="273"/>
      <c r="M12" s="273"/>
      <c r="N12" s="275"/>
      <c r="O12" s="273"/>
      <c r="P12" s="69" t="e">
        <f t="shared" si="5"/>
        <v>#REF!</v>
      </c>
      <c r="Q12" s="18" t="e">
        <f t="shared" si="6"/>
        <v>#REF!</v>
      </c>
      <c r="R12" s="100" t="e">
        <f t="shared" si="0"/>
        <v>#REF!</v>
      </c>
      <c r="S12" s="162">
        <f>5014878.65*5</f>
        <v>25074393.25</v>
      </c>
      <c r="T12" s="154" t="e">
        <f t="shared" si="7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39">
        <v>5108909.84</v>
      </c>
      <c r="AF12" s="141" t="e">
        <f t="shared" si="10"/>
        <v>#REF!</v>
      </c>
      <c r="AG12" s="60" t="e">
        <f t="shared" si="11"/>
        <v>#REF!</v>
      </c>
      <c r="AH12" s="141" t="e">
        <f>ROUND(Q12/1000,2)-0.01</f>
        <v>#REF!</v>
      </c>
      <c r="AL12" s="195">
        <v>5014770.9000000004</v>
      </c>
      <c r="AM12" s="195" t="e">
        <f t="shared" si="13"/>
        <v>#REF!</v>
      </c>
      <c r="AN12" s="197" t="e">
        <f t="shared" si="14"/>
        <v>#REF!</v>
      </c>
      <c r="AO12" s="264"/>
    </row>
    <row r="13" spans="1:43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5"/>
        <v>1.05</v>
      </c>
      <c r="H13" s="138">
        <v>1</v>
      </c>
      <c r="I13" s="144">
        <v>1</v>
      </c>
      <c r="J13" s="144">
        <v>1</v>
      </c>
      <c r="K13" s="131" t="e">
        <f t="shared" si="4"/>
        <v>#REF!</v>
      </c>
      <c r="L13" s="273"/>
      <c r="M13" s="273"/>
      <c r="N13" s="275"/>
      <c r="O13" s="273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62">
        <f>2732436.67*5</f>
        <v>13662183.35</v>
      </c>
      <c r="T13" s="154" t="e">
        <f t="shared" si="7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39">
        <v>2770699.65</v>
      </c>
      <c r="AF13" s="141" t="e">
        <f t="shared" si="10"/>
        <v>#REF!</v>
      </c>
      <c r="AG13" s="60" t="e">
        <f t="shared" si="11"/>
        <v>#REF!</v>
      </c>
      <c r="AH13" s="141" t="e">
        <f>ROUND(Q13/1000,2)-0.01</f>
        <v>#REF!</v>
      </c>
      <c r="AL13" s="195">
        <v>2732377.96</v>
      </c>
      <c r="AM13" s="195" t="e">
        <f t="shared" si="13"/>
        <v>#REF!</v>
      </c>
      <c r="AN13" s="197" t="e">
        <f t="shared" si="14"/>
        <v>#REF!</v>
      </c>
      <c r="AO13" s="264"/>
    </row>
    <row r="14" spans="1:43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5"/>
        <v>1.05</v>
      </c>
      <c r="H14" s="143">
        <v>1.0364</v>
      </c>
      <c r="I14" s="144">
        <v>1</v>
      </c>
      <c r="J14" s="144">
        <v>1</v>
      </c>
      <c r="K14" s="131" t="e">
        <f t="shared" si="4"/>
        <v>#REF!</v>
      </c>
      <c r="L14" s="273"/>
      <c r="M14" s="273"/>
      <c r="N14" s="275"/>
      <c r="O14" s="273"/>
      <c r="P14" s="69" t="e">
        <f t="shared" si="5"/>
        <v>#REF!</v>
      </c>
      <c r="Q14" s="18" t="e">
        <f t="shared" si="6"/>
        <v>#REF!</v>
      </c>
      <c r="R14" s="100" t="e">
        <f t="shared" si="0"/>
        <v>#REF!</v>
      </c>
      <c r="S14" s="162">
        <f>4078362.11*5</f>
        <v>20391810.550000001</v>
      </c>
      <c r="T14" s="154" t="e">
        <f t="shared" si="7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5">
        <v>4078274.49</v>
      </c>
      <c r="AM14" s="195" t="e">
        <f>P14-AL14</f>
        <v>#REF!</v>
      </c>
      <c r="AN14" s="197" t="e">
        <f t="shared" si="14"/>
        <v>#REF!</v>
      </c>
      <c r="AO14" s="264"/>
    </row>
    <row r="15" spans="1:43" ht="43.9" customHeight="1" x14ac:dyDescent="0.3">
      <c r="B15" s="170">
        <v>3</v>
      </c>
      <c r="C15" s="171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5"/>
        <v>1.05</v>
      </c>
      <c r="H15" s="138">
        <v>1</v>
      </c>
      <c r="I15" s="167">
        <v>1</v>
      </c>
      <c r="J15" s="172">
        <v>4.1514499999999996</v>
      </c>
      <c r="K15" s="131" t="e">
        <f t="shared" si="4"/>
        <v>#REF!</v>
      </c>
      <c r="L15" s="169" t="e">
        <f>U15/W15</f>
        <v>#REF!</v>
      </c>
      <c r="M15" s="169" t="e">
        <f>D15*L15</f>
        <v>#REF!</v>
      </c>
      <c r="N15" s="275"/>
      <c r="O15" s="169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62">
        <f>4172724.02*5+45910270</f>
        <v>66773890.100000001</v>
      </c>
      <c r="T15" s="168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5">
        <v>13355615.890000001</v>
      </c>
      <c r="AM15" s="195" t="e">
        <f>P15-AL15</f>
        <v>#REF!</v>
      </c>
      <c r="AN15" s="195" t="e">
        <f t="shared" si="14"/>
        <v>#REF!</v>
      </c>
    </row>
    <row r="16" spans="1:43" ht="43.9" customHeight="1" x14ac:dyDescent="0.3">
      <c r="B16" s="158">
        <v>7</v>
      </c>
      <c r="C16" s="160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5"/>
        <v>1.05</v>
      </c>
      <c r="H16" s="143">
        <v>1.0707</v>
      </c>
      <c r="I16" s="166">
        <v>1.1734</v>
      </c>
      <c r="J16" s="166">
        <v>4.2266500000000002</v>
      </c>
      <c r="K16" s="123" t="e">
        <f t="shared" si="4"/>
        <v>#REF!</v>
      </c>
      <c r="L16" s="169" t="e">
        <f>U16/W16</f>
        <v>#REF!</v>
      </c>
      <c r="M16" s="169" t="e">
        <f>D16*L16</f>
        <v>#REF!</v>
      </c>
      <c r="N16" s="275"/>
      <c r="O16" s="169" t="e">
        <f>M16/$N$9</f>
        <v>#REF!</v>
      </c>
      <c r="P16" s="69" t="e">
        <f>ROUND($O$16*E16,2)</f>
        <v>#REF!</v>
      </c>
      <c r="Q16" s="18" t="e">
        <f t="shared" si="6"/>
        <v>#REF!</v>
      </c>
      <c r="R16" s="100" t="e">
        <f>$M$16*E16</f>
        <v>#REF!</v>
      </c>
      <c r="S16" s="162">
        <f>2362598.88*5+30046440+7258420</f>
        <v>49117854.399999999</v>
      </c>
      <c r="T16" s="165" t="e">
        <f t="shared" si="7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39">
        <v>2391502.73</v>
      </c>
      <c r="AF16" s="141" t="e">
        <f t="shared" si="10"/>
        <v>#REF!</v>
      </c>
      <c r="AG16" s="60" t="e">
        <f t="shared" si="11"/>
        <v>#REF!</v>
      </c>
      <c r="AH16" s="141" t="e">
        <f t="shared" si="12"/>
        <v>#REF!</v>
      </c>
      <c r="AL16" s="195">
        <v>9822671.6400000006</v>
      </c>
      <c r="AM16" s="195" t="e">
        <f t="shared" si="13"/>
        <v>#REF!</v>
      </c>
      <c r="AN16" s="195" t="e">
        <f t="shared" si="14"/>
        <v>#REF!</v>
      </c>
    </row>
    <row r="17" spans="1:40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4"/>
        <v>#REF!</v>
      </c>
      <c r="L17" s="265" t="e">
        <f>V20/X20</f>
        <v>#REF!</v>
      </c>
      <c r="M17" s="265" t="e">
        <f>ROUND(D18*L17,2)</f>
        <v>#REF!</v>
      </c>
      <c r="N17" s="275"/>
      <c r="O17" s="265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62">
        <f>1020725.2*5</f>
        <v>5103626</v>
      </c>
      <c r="T17" s="154" t="e">
        <f t="shared" si="7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5">
        <v>1020757.92</v>
      </c>
      <c r="AM17" s="195" t="e">
        <f t="shared" si="13"/>
        <v>#REF!</v>
      </c>
      <c r="AN17" s="195" t="e">
        <f t="shared" si="14"/>
        <v>#REF!</v>
      </c>
    </row>
    <row r="18" spans="1:40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4"/>
        <v>#REF!</v>
      </c>
      <c r="L18" s="266"/>
      <c r="M18" s="266"/>
      <c r="N18" s="275"/>
      <c r="O18" s="266"/>
      <c r="P18" s="103" t="e">
        <f t="shared" ref="P18:P20" si="16">ROUND($O$17*E18,2)</f>
        <v>#REF!</v>
      </c>
      <c r="Q18" s="18" t="e">
        <f t="shared" si="6"/>
        <v>#REF!</v>
      </c>
      <c r="R18" s="100" t="e">
        <f t="shared" ref="R18:R20" si="17">$M$17*E18</f>
        <v>#REF!</v>
      </c>
      <c r="S18" s="162">
        <f>8330355.19*5</f>
        <v>41651775.950000003</v>
      </c>
      <c r="T18" s="154" t="e">
        <f t="shared" si="7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39">
        <v>8357741.0300000003</v>
      </c>
      <c r="AF18" s="141" t="e">
        <f t="shared" si="10"/>
        <v>#REF!</v>
      </c>
      <c r="AG18" s="60" t="e">
        <f t="shared" si="11"/>
        <v>#REF!</v>
      </c>
      <c r="AH18" s="141" t="e">
        <f t="shared" si="12"/>
        <v>#REF!</v>
      </c>
      <c r="AL18" s="195">
        <v>8330622.2199999997</v>
      </c>
      <c r="AM18" s="195" t="e">
        <f t="shared" si="13"/>
        <v>#REF!</v>
      </c>
      <c r="AN18" s="195" t="e">
        <f t="shared" si="14"/>
        <v>#REF!</v>
      </c>
    </row>
    <row r="19" spans="1:40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4"/>
        <v>#REF!</v>
      </c>
      <c r="L19" s="266"/>
      <c r="M19" s="266"/>
      <c r="N19" s="275"/>
      <c r="O19" s="266"/>
      <c r="P19" s="103" t="e">
        <f t="shared" si="16"/>
        <v>#REF!</v>
      </c>
      <c r="Q19" s="18" t="e">
        <f t="shared" si="6"/>
        <v>#REF!</v>
      </c>
      <c r="R19" s="100" t="e">
        <f t="shared" si="17"/>
        <v>#REF!</v>
      </c>
      <c r="S19" s="162">
        <f>7095244.85*5</f>
        <v>35476224.25</v>
      </c>
      <c r="T19" s="154" t="e">
        <f t="shared" si="7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39">
        <v>7133909.4000000004</v>
      </c>
      <c r="AF19" s="141" t="e">
        <f t="shared" si="10"/>
        <v>#REF!</v>
      </c>
      <c r="AG19" s="60" t="e">
        <f t="shared" si="11"/>
        <v>#REF!</v>
      </c>
      <c r="AH19" s="141" t="e">
        <f t="shared" si="12"/>
        <v>#REF!</v>
      </c>
      <c r="AL19" s="195">
        <v>7095472.2800000003</v>
      </c>
      <c r="AM19" s="195" t="e">
        <f t="shared" si="13"/>
        <v>#REF!</v>
      </c>
      <c r="AN19" s="195" t="e">
        <f t="shared" si="14"/>
        <v>#REF!</v>
      </c>
    </row>
    <row r="20" spans="1:40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4"/>
        <v>#REF!</v>
      </c>
      <c r="L20" s="267"/>
      <c r="M20" s="267"/>
      <c r="N20" s="276"/>
      <c r="O20" s="267"/>
      <c r="P20" s="103" t="e">
        <f t="shared" si="16"/>
        <v>#REF!</v>
      </c>
      <c r="Q20" s="18" t="e">
        <f t="shared" si="6"/>
        <v>#REF!</v>
      </c>
      <c r="R20" s="100" t="e">
        <f t="shared" si="17"/>
        <v>#REF!</v>
      </c>
      <c r="S20" s="164">
        <f>4735365.42*5</f>
        <v>23676827.100000001</v>
      </c>
      <c r="T20" s="154" t="e">
        <f t="shared" si="7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39">
        <v>4771903.41</v>
      </c>
      <c r="AF20" s="141" t="e">
        <f t="shared" si="10"/>
        <v>#REF!</v>
      </c>
      <c r="AG20" s="60" t="e">
        <f t="shared" si="11"/>
        <v>#REF!</v>
      </c>
      <c r="AH20" s="141" t="e">
        <f t="shared" si="12"/>
        <v>#REF!</v>
      </c>
      <c r="AL20" s="195">
        <v>4735517.22</v>
      </c>
      <c r="AM20" s="195" t="e">
        <f t="shared" si="13"/>
        <v>#REF!</v>
      </c>
      <c r="AN20" s="195" t="e">
        <f t="shared" si="14"/>
        <v>#REF!</v>
      </c>
    </row>
    <row r="21" spans="1:40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0"/>
        <v>0</v>
      </c>
      <c r="AG21" s="60"/>
      <c r="AH21" s="141"/>
    </row>
    <row r="22" spans="1:40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3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0"/>
        <v>#REF!</v>
      </c>
      <c r="AG22" s="142" t="e">
        <f>SUM(AG9:AG21)</f>
        <v>#REF!</v>
      </c>
      <c r="AH22" s="141" t="e">
        <f>SUM(AH9:AH21)</f>
        <v>#REF!</v>
      </c>
    </row>
    <row r="23" spans="1:40" ht="42.75" customHeight="1" x14ac:dyDescent="0.3">
      <c r="B23" s="21"/>
      <c r="C23" s="21"/>
      <c r="D23" s="145">
        <f>365524540/5*3+21888750</f>
        <v>241203474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80401158</v>
      </c>
      <c r="Q23" s="25"/>
      <c r="R23" s="15">
        <f>D23/3</f>
        <v>80401158</v>
      </c>
      <c r="S23" s="15"/>
      <c r="T23" s="15"/>
      <c r="U23" s="99"/>
      <c r="AF23" s="139" t="e">
        <f>AF22*10</f>
        <v>#REF!</v>
      </c>
    </row>
    <row r="24" spans="1:40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0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0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0" ht="19.5" customHeight="1" x14ac:dyDescent="0.3">
      <c r="H27" s="143">
        <v>1.2199</v>
      </c>
      <c r="I27" s="21"/>
      <c r="J27" s="21"/>
    </row>
    <row r="28" spans="1:40" ht="19.5" customHeight="1" x14ac:dyDescent="0.3">
      <c r="H28" s="21"/>
      <c r="I28" s="21"/>
      <c r="J28" s="21"/>
    </row>
    <row r="29" spans="1:40" ht="19.5" customHeight="1" x14ac:dyDescent="0.3">
      <c r="H29" s="21"/>
      <c r="I29" s="21"/>
      <c r="J29" s="21"/>
    </row>
    <row r="30" spans="1:40" ht="19.5" customHeight="1" x14ac:dyDescent="0.3">
      <c r="H30" s="21"/>
      <c r="I30" s="21"/>
      <c r="J30" s="21"/>
    </row>
    <row r="31" spans="1:40" ht="19.5" customHeight="1" x14ac:dyDescent="0.3">
      <c r="H31" s="21"/>
      <c r="I31" s="21"/>
      <c r="J31" s="21"/>
    </row>
    <row r="32" spans="1:40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  <mergeCell ref="AO10:AO14"/>
    <mergeCell ref="T5:T7"/>
    <mergeCell ref="U7:V7"/>
    <mergeCell ref="AL7:AM7"/>
    <mergeCell ref="L9:L14"/>
    <mergeCell ref="M9:M14"/>
    <mergeCell ref="N9:N20"/>
    <mergeCell ref="O9:O14"/>
    <mergeCell ref="L17:L20"/>
    <mergeCell ref="M17:M20"/>
    <mergeCell ref="O17:O20"/>
    <mergeCell ref="O4:O6"/>
    <mergeCell ref="P4:P6"/>
    <mergeCell ref="Q4:Q6"/>
    <mergeCell ref="R4:R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V41"/>
  <sheetViews>
    <sheetView view="pageBreakPreview" zoomScale="70" zoomScaleNormal="53" zoomScaleSheetLayoutView="70" workbookViewId="0">
      <pane xSplit="3" ySplit="6" topLeftCell="D10" activePane="bottomRight" state="frozen"/>
      <selection activeCell="C1" sqref="C1"/>
      <selection pane="topRight" activeCell="D1" sqref="D1"/>
      <selection pane="bottomLeft" activeCell="C8" sqref="C8"/>
      <selection pane="bottomRight" activeCell="C4" sqref="C4:C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8" width="18.140625" style="1" hidden="1" customWidth="1"/>
    <col min="9" max="12" width="17.7109375" style="1" customWidth="1"/>
    <col min="13" max="13" width="18.5703125" style="1" customWidth="1"/>
    <col min="14" max="14" width="24.85546875" style="1" customWidth="1"/>
    <col min="15" max="15" width="28.140625" style="1" customWidth="1"/>
    <col min="16" max="16" width="23.42578125" style="1" customWidth="1"/>
    <col min="17" max="17" width="25" style="1" customWidth="1"/>
    <col min="18" max="18" width="22.140625" style="1" bestFit="1" customWidth="1"/>
    <col min="19" max="19" width="19.42578125" style="1" customWidth="1"/>
    <col min="20" max="20" width="18.85546875" style="1" customWidth="1"/>
    <col min="21" max="21" width="20.28515625" style="1" customWidth="1"/>
    <col min="22" max="16384" width="9.140625" style="1"/>
  </cols>
  <sheetData>
    <row r="1" spans="1:22" ht="18" customHeight="1" x14ac:dyDescent="0.3">
      <c r="M1" s="249"/>
      <c r="N1" s="249"/>
      <c r="O1" s="249"/>
      <c r="P1" s="249"/>
      <c r="Q1" s="115"/>
    </row>
    <row r="2" spans="1:22" ht="22.5" customHeight="1" x14ac:dyDescent="0.3">
      <c r="M2" s="250"/>
      <c r="N2" s="250"/>
      <c r="O2" s="250"/>
      <c r="P2" s="250"/>
      <c r="Q2" s="116"/>
    </row>
    <row r="3" spans="1:22" ht="48" customHeight="1" x14ac:dyDescent="0.3">
      <c r="C3" s="251" t="s">
        <v>55</v>
      </c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"/>
      <c r="P3" s="2" t="s">
        <v>16</v>
      </c>
      <c r="Q3" s="2"/>
    </row>
    <row r="4" spans="1:22" s="3" customFormat="1" ht="43.9" customHeight="1" x14ac:dyDescent="0.3">
      <c r="B4" s="252" t="s">
        <v>7</v>
      </c>
      <c r="C4" s="252" t="s">
        <v>8</v>
      </c>
      <c r="D4" s="278" t="s">
        <v>52</v>
      </c>
      <c r="E4" s="253" t="s">
        <v>44</v>
      </c>
      <c r="F4" s="256" t="s">
        <v>10</v>
      </c>
      <c r="G4" s="257"/>
      <c r="H4" s="257"/>
      <c r="I4" s="257"/>
      <c r="J4" s="257"/>
      <c r="K4" s="279" t="s">
        <v>38</v>
      </c>
      <c r="L4" s="279" t="s">
        <v>42</v>
      </c>
      <c r="M4" s="279" t="s">
        <v>28</v>
      </c>
      <c r="N4" s="283" t="s">
        <v>53</v>
      </c>
      <c r="O4" s="283" t="s">
        <v>29</v>
      </c>
      <c r="P4" s="262" t="s">
        <v>17</v>
      </c>
      <c r="Q4" s="63"/>
    </row>
    <row r="5" spans="1:22" s="4" customFormat="1" ht="144.75" customHeight="1" x14ac:dyDescent="0.3">
      <c r="B5" s="252"/>
      <c r="C5" s="252"/>
      <c r="D5" s="278"/>
      <c r="E5" s="254"/>
      <c r="F5" s="114" t="s">
        <v>11</v>
      </c>
      <c r="G5" s="114" t="s">
        <v>48</v>
      </c>
      <c r="H5" s="114" t="s">
        <v>35</v>
      </c>
      <c r="I5" s="117" t="s">
        <v>36</v>
      </c>
      <c r="J5" s="117" t="s">
        <v>37</v>
      </c>
      <c r="K5" s="279"/>
      <c r="L5" s="279"/>
      <c r="M5" s="279"/>
      <c r="N5" s="283"/>
      <c r="O5" s="283"/>
      <c r="P5" s="263"/>
      <c r="Q5" s="63"/>
    </row>
    <row r="6" spans="1:22" s="5" customFormat="1" ht="42.75" customHeight="1" x14ac:dyDescent="0.3">
      <c r="B6" s="252"/>
      <c r="C6" s="252"/>
      <c r="D6" s="22" t="s">
        <v>31</v>
      </c>
      <c r="E6" s="120" t="s">
        <v>32</v>
      </c>
      <c r="F6" s="118" t="s">
        <v>15</v>
      </c>
      <c r="G6" s="118" t="s">
        <v>33</v>
      </c>
      <c r="H6" s="118" t="s">
        <v>34</v>
      </c>
      <c r="I6" s="7" t="s">
        <v>14</v>
      </c>
      <c r="J6" s="7" t="s">
        <v>39</v>
      </c>
      <c r="K6" s="7" t="s">
        <v>40</v>
      </c>
      <c r="L6" s="7" t="s">
        <v>41</v>
      </c>
      <c r="M6" s="7" t="s">
        <v>51</v>
      </c>
      <c r="N6" s="7" t="s">
        <v>54</v>
      </c>
      <c r="O6" s="7" t="s">
        <v>30</v>
      </c>
      <c r="P6" s="7"/>
      <c r="Q6" s="64"/>
      <c r="R6" s="269" t="s">
        <v>18</v>
      </c>
      <c r="S6" s="270"/>
    </row>
    <row r="7" spans="1:22" s="5" customFormat="1" ht="39.6" customHeight="1" x14ac:dyDescent="0.3">
      <c r="B7" s="119">
        <v>1</v>
      </c>
      <c r="C7" s="119">
        <v>2</v>
      </c>
      <c r="D7" s="120">
        <v>3</v>
      </c>
      <c r="E7" s="120">
        <v>4</v>
      </c>
      <c r="F7" s="114">
        <v>5</v>
      </c>
      <c r="G7" s="114">
        <v>6</v>
      </c>
      <c r="H7" s="6">
        <v>7</v>
      </c>
      <c r="I7" s="6">
        <v>7</v>
      </c>
      <c r="J7" s="6">
        <v>8</v>
      </c>
      <c r="K7" s="6">
        <v>9</v>
      </c>
      <c r="L7" s="6">
        <v>10</v>
      </c>
      <c r="M7" s="6">
        <v>11</v>
      </c>
      <c r="N7" s="6">
        <v>12</v>
      </c>
      <c r="O7" s="6"/>
      <c r="P7" s="8"/>
      <c r="Q7" s="29"/>
    </row>
    <row r="8" spans="1:22" ht="43.9" customHeight="1" x14ac:dyDescent="0.3">
      <c r="A8" s="1">
        <v>1343001</v>
      </c>
      <c r="B8" s="20"/>
      <c r="C8" s="9" t="s">
        <v>22</v>
      </c>
      <c r="D8" s="16" t="e">
        <f>D21/'АМП 2017 (терапевты)  (без пло)'!E20/9</f>
        <v>#REF!</v>
      </c>
      <c r="E8" s="67" t="e">
        <f>#REF!</f>
        <v>#REF!</v>
      </c>
      <c r="F8" s="68" t="e">
        <f>#REF!</f>
        <v>#REF!</v>
      </c>
      <c r="G8" s="68">
        <v>1</v>
      </c>
      <c r="H8" s="78">
        <v>1</v>
      </c>
      <c r="I8" s="123" t="e">
        <f t="shared" ref="I8:I15" si="0">F8*G8*H8</f>
        <v>#REF!</v>
      </c>
      <c r="J8" s="280" t="e">
        <f>S15/U15</f>
        <v>#REF!</v>
      </c>
      <c r="K8" s="284" t="e">
        <f>ROUND(D8*J8,2)</f>
        <v>#REF!</v>
      </c>
      <c r="L8" s="287" t="e">
        <f>P20/P21</f>
        <v>#REF!</v>
      </c>
      <c r="M8" s="290" t="e">
        <f>K8/L8</f>
        <v>#REF!</v>
      </c>
      <c r="N8" s="69" t="e">
        <f>ROUND($M$8*E8,2)</f>
        <v>#REF!</v>
      </c>
      <c r="O8" s="18" t="e">
        <f>ROUND(N8*9,2)</f>
        <v>#REF!</v>
      </c>
      <c r="P8" s="100" t="e">
        <f>E8*$K$8</f>
        <v>#REF!</v>
      </c>
      <c r="Q8" s="65" t="e">
        <f t="shared" ref="Q8:Q18" si="1">O8/(E8*D8)</f>
        <v>#REF!</v>
      </c>
      <c r="R8" s="40" t="e">
        <f t="shared" ref="R8:R18" si="2">D8*E8*I8</f>
        <v>#REF!</v>
      </c>
      <c r="S8" s="39"/>
      <c r="T8" s="41" t="e">
        <f t="shared" ref="T8:T18" si="3">D8*E8</f>
        <v>#REF!</v>
      </c>
      <c r="U8" s="39"/>
      <c r="V8" s="39"/>
    </row>
    <row r="9" spans="1:22" ht="43.9" customHeight="1" x14ac:dyDescent="0.3">
      <c r="B9" s="20"/>
      <c r="C9" s="9" t="s">
        <v>50</v>
      </c>
      <c r="D9" s="16" t="e">
        <f t="shared" ref="D9:D15" si="4">$D$16</f>
        <v>#REF!</v>
      </c>
      <c r="E9" s="67" t="e">
        <f>#REF!</f>
        <v>#REF!</v>
      </c>
      <c r="F9" s="68" t="e">
        <f>#REF!</f>
        <v>#REF!</v>
      </c>
      <c r="G9" s="68">
        <v>1</v>
      </c>
      <c r="H9" s="78">
        <v>1</v>
      </c>
      <c r="I9" s="102" t="e">
        <f t="shared" si="0"/>
        <v>#REF!</v>
      </c>
      <c r="J9" s="281"/>
      <c r="K9" s="285"/>
      <c r="L9" s="288"/>
      <c r="M9" s="291"/>
      <c r="N9" s="69" t="e">
        <f t="shared" ref="N9:N15" si="5">ROUND($M$8*E9,2)</f>
        <v>#REF!</v>
      </c>
      <c r="O9" s="18" t="e">
        <f t="shared" ref="O9:O19" si="6">ROUND(N9*9,2)</f>
        <v>#REF!</v>
      </c>
      <c r="P9" s="100" t="e">
        <f t="shared" ref="P9:P15" si="7">E9*$K$8</f>
        <v>#REF!</v>
      </c>
      <c r="Q9" s="65" t="e">
        <f t="shared" ref="Q9:Q15" si="8">O9/(E9*D9)</f>
        <v>#REF!</v>
      </c>
      <c r="R9" s="40" t="e">
        <f t="shared" ref="R9:R15" si="9">D9*E9*I9</f>
        <v>#REF!</v>
      </c>
      <c r="S9" s="77"/>
      <c r="T9" s="41" t="e">
        <f t="shared" ref="T9:T15" si="10">D9*E9</f>
        <v>#REF!</v>
      </c>
      <c r="U9" s="77"/>
      <c r="V9" s="39"/>
    </row>
    <row r="10" spans="1:22" ht="43.9" customHeight="1" x14ac:dyDescent="0.3">
      <c r="B10" s="20"/>
      <c r="C10" s="9" t="s">
        <v>1</v>
      </c>
      <c r="D10" s="16" t="e">
        <f t="shared" si="4"/>
        <v>#REF!</v>
      </c>
      <c r="E10" s="67" t="e">
        <f>#REF!</f>
        <v>#REF!</v>
      </c>
      <c r="F10" s="68" t="e">
        <f>#REF!</f>
        <v>#REF!</v>
      </c>
      <c r="G10" s="68">
        <v>1</v>
      </c>
      <c r="H10" s="78">
        <v>1</v>
      </c>
      <c r="I10" s="102" t="e">
        <f t="shared" si="0"/>
        <v>#REF!</v>
      </c>
      <c r="J10" s="281"/>
      <c r="K10" s="285"/>
      <c r="L10" s="288"/>
      <c r="M10" s="291"/>
      <c r="N10" s="69" t="e">
        <f t="shared" si="5"/>
        <v>#REF!</v>
      </c>
      <c r="O10" s="18" t="e">
        <f t="shared" si="6"/>
        <v>#REF!</v>
      </c>
      <c r="P10" s="100" t="e">
        <f t="shared" si="7"/>
        <v>#REF!</v>
      </c>
      <c r="Q10" s="65" t="e">
        <f t="shared" si="8"/>
        <v>#REF!</v>
      </c>
      <c r="R10" s="40" t="e">
        <f t="shared" si="9"/>
        <v>#REF!</v>
      </c>
      <c r="S10" s="77"/>
      <c r="T10" s="41" t="e">
        <f t="shared" si="10"/>
        <v>#REF!</v>
      </c>
      <c r="U10" s="77"/>
      <c r="V10" s="39"/>
    </row>
    <row r="11" spans="1:22" ht="43.9" customHeight="1" x14ac:dyDescent="0.3">
      <c r="B11" s="20"/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68">
        <v>1</v>
      </c>
      <c r="H11" s="78">
        <v>1</v>
      </c>
      <c r="I11" s="102" t="e">
        <f t="shared" si="0"/>
        <v>#REF!</v>
      </c>
      <c r="J11" s="281"/>
      <c r="K11" s="285"/>
      <c r="L11" s="288"/>
      <c r="M11" s="291"/>
      <c r="N11" s="69" t="e">
        <f t="shared" si="5"/>
        <v>#REF!</v>
      </c>
      <c r="O11" s="18" t="e">
        <f t="shared" si="6"/>
        <v>#REF!</v>
      </c>
      <c r="P11" s="100" t="e">
        <f t="shared" si="7"/>
        <v>#REF!</v>
      </c>
      <c r="Q11" s="65" t="e">
        <f t="shared" si="8"/>
        <v>#REF!</v>
      </c>
      <c r="R11" s="40" t="e">
        <f t="shared" si="9"/>
        <v>#REF!</v>
      </c>
      <c r="S11" s="48"/>
      <c r="T11" s="41" t="e">
        <f t="shared" si="10"/>
        <v>#REF!</v>
      </c>
      <c r="U11" s="48"/>
      <c r="V11" s="39"/>
    </row>
    <row r="12" spans="1:22" ht="43.9" customHeight="1" x14ac:dyDescent="0.3">
      <c r="B12" s="20"/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68">
        <v>1</v>
      </c>
      <c r="H12" s="78">
        <v>1</v>
      </c>
      <c r="I12" s="102" t="e">
        <f t="shared" si="0"/>
        <v>#REF!</v>
      </c>
      <c r="J12" s="281"/>
      <c r="K12" s="285"/>
      <c r="L12" s="288"/>
      <c r="M12" s="291"/>
      <c r="N12" s="69" t="e">
        <f t="shared" si="5"/>
        <v>#REF!</v>
      </c>
      <c r="O12" s="18" t="e">
        <f t="shared" si="6"/>
        <v>#REF!</v>
      </c>
      <c r="P12" s="100" t="e">
        <f t="shared" si="7"/>
        <v>#REF!</v>
      </c>
      <c r="Q12" s="65" t="e">
        <f t="shared" si="8"/>
        <v>#REF!</v>
      </c>
      <c r="R12" s="40" t="e">
        <f t="shared" si="9"/>
        <v>#REF!</v>
      </c>
      <c r="S12" s="77"/>
      <c r="T12" s="41" t="e">
        <f t="shared" si="10"/>
        <v>#REF!</v>
      </c>
      <c r="U12" s="77"/>
      <c r="V12" s="39"/>
    </row>
    <row r="13" spans="1:22" ht="43.9" customHeight="1" x14ac:dyDescent="0.3">
      <c r="B13" s="20"/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68">
        <v>1</v>
      </c>
      <c r="H13" s="78">
        <v>1</v>
      </c>
      <c r="I13" s="102" t="e">
        <f t="shared" si="0"/>
        <v>#REF!</v>
      </c>
      <c r="J13" s="281"/>
      <c r="K13" s="285"/>
      <c r="L13" s="288"/>
      <c r="M13" s="291"/>
      <c r="N13" s="69" t="e">
        <f t="shared" si="5"/>
        <v>#REF!</v>
      </c>
      <c r="O13" s="18" t="e">
        <f t="shared" si="6"/>
        <v>#REF!</v>
      </c>
      <c r="P13" s="100" t="e">
        <f t="shared" si="7"/>
        <v>#REF!</v>
      </c>
      <c r="Q13" s="65" t="e">
        <f t="shared" si="8"/>
        <v>#REF!</v>
      </c>
      <c r="R13" s="40" t="e">
        <f t="shared" si="9"/>
        <v>#REF!</v>
      </c>
      <c r="S13" s="48"/>
      <c r="T13" s="41" t="e">
        <f t="shared" si="10"/>
        <v>#REF!</v>
      </c>
      <c r="U13" s="48"/>
      <c r="V13" s="39"/>
    </row>
    <row r="14" spans="1:22" ht="43.9" customHeight="1" x14ac:dyDescent="0.3">
      <c r="B14" s="20"/>
      <c r="C14" s="9" t="s">
        <v>12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68">
        <v>1</v>
      </c>
      <c r="H14" s="78">
        <v>1</v>
      </c>
      <c r="I14" s="102" t="e">
        <f t="shared" si="0"/>
        <v>#REF!</v>
      </c>
      <c r="J14" s="281"/>
      <c r="K14" s="285"/>
      <c r="L14" s="288"/>
      <c r="M14" s="291"/>
      <c r="N14" s="69" t="e">
        <f t="shared" si="5"/>
        <v>#REF!</v>
      </c>
      <c r="O14" s="18" t="e">
        <f t="shared" si="6"/>
        <v>#REF!</v>
      </c>
      <c r="P14" s="100" t="e">
        <f t="shared" si="7"/>
        <v>#REF!</v>
      </c>
      <c r="Q14" s="65" t="e">
        <f t="shared" si="8"/>
        <v>#REF!</v>
      </c>
      <c r="R14" s="40" t="e">
        <f t="shared" si="9"/>
        <v>#REF!</v>
      </c>
      <c r="S14" s="48"/>
      <c r="T14" s="41" t="e">
        <f t="shared" si="10"/>
        <v>#REF!</v>
      </c>
      <c r="U14" s="48"/>
      <c r="V14" s="39"/>
    </row>
    <row r="15" spans="1:22" ht="43.9" customHeight="1" x14ac:dyDescent="0.3">
      <c r="B15" s="20"/>
      <c r="C15" s="9" t="s">
        <v>5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68">
        <v>1</v>
      </c>
      <c r="H15" s="78">
        <v>1</v>
      </c>
      <c r="I15" s="102" t="e">
        <f t="shared" si="0"/>
        <v>#REF!</v>
      </c>
      <c r="J15" s="282"/>
      <c r="K15" s="286"/>
      <c r="L15" s="288"/>
      <c r="M15" s="292"/>
      <c r="N15" s="69" t="e">
        <f t="shared" si="5"/>
        <v>#REF!</v>
      </c>
      <c r="O15" s="18" t="e">
        <f t="shared" si="6"/>
        <v>#REF!</v>
      </c>
      <c r="P15" s="100" t="e">
        <f t="shared" si="7"/>
        <v>#REF!</v>
      </c>
      <c r="Q15" s="65" t="e">
        <f t="shared" si="8"/>
        <v>#REF!</v>
      </c>
      <c r="R15" s="40" t="e">
        <f t="shared" si="9"/>
        <v>#REF!</v>
      </c>
      <c r="S15" s="77" t="e">
        <f>SUM(R8:R15)</f>
        <v>#REF!</v>
      </c>
      <c r="T15" s="41" t="e">
        <f t="shared" si="10"/>
        <v>#REF!</v>
      </c>
      <c r="U15" s="77" t="e">
        <f>SUM(T8:T15)</f>
        <v>#REF!</v>
      </c>
      <c r="V15" s="39"/>
    </row>
    <row r="16" spans="1:22" ht="43.9" customHeight="1" x14ac:dyDescent="0.3">
      <c r="B16" s="20"/>
      <c r="C16" s="9" t="s">
        <v>23</v>
      </c>
      <c r="D16" s="16" t="e">
        <f>$D$8</f>
        <v>#REF!</v>
      </c>
      <c r="E16" s="67" t="e">
        <f>#REF!</f>
        <v>#REF!</v>
      </c>
      <c r="F16" s="68" t="e">
        <f>#REF!</f>
        <v>#REF!</v>
      </c>
      <c r="G16" s="68">
        <v>1</v>
      </c>
      <c r="H16" s="78">
        <v>1</v>
      </c>
      <c r="I16" s="104" t="e">
        <f t="shared" ref="I16:I18" si="11">F16*G16*H16</f>
        <v>#REF!</v>
      </c>
      <c r="J16" s="280" t="e">
        <f>S19/U19</f>
        <v>#REF!</v>
      </c>
      <c r="K16" s="284" t="e">
        <f>ROUND(D16*J16,2)</f>
        <v>#REF!</v>
      </c>
      <c r="L16" s="288"/>
      <c r="M16" s="293" t="e">
        <f>K16/L8</f>
        <v>#REF!</v>
      </c>
      <c r="N16" s="103" t="e">
        <f>ROUND($M$16*E16,2)</f>
        <v>#REF!</v>
      </c>
      <c r="O16" s="18" t="e">
        <f t="shared" si="6"/>
        <v>#REF!</v>
      </c>
      <c r="P16" s="100" t="e">
        <f>E16*$K$16</f>
        <v>#REF!</v>
      </c>
      <c r="Q16" s="65" t="e">
        <f t="shared" si="1"/>
        <v>#REF!</v>
      </c>
      <c r="R16" s="40" t="e">
        <f t="shared" si="2"/>
        <v>#REF!</v>
      </c>
      <c r="S16" s="39"/>
      <c r="T16" s="41" t="e">
        <f t="shared" si="3"/>
        <v>#REF!</v>
      </c>
      <c r="U16" s="39"/>
      <c r="V16" s="39"/>
    </row>
    <row r="17" spans="2:22" ht="43.9" customHeight="1" x14ac:dyDescent="0.3">
      <c r="B17" s="20"/>
      <c r="C17" s="9" t="s">
        <v>24</v>
      </c>
      <c r="D17" s="16" t="e">
        <f>$D$16</f>
        <v>#REF!</v>
      </c>
      <c r="E17" s="67" t="e">
        <f>#REF!</f>
        <v>#REF!</v>
      </c>
      <c r="F17" s="68" t="e">
        <f>#REF!</f>
        <v>#REF!</v>
      </c>
      <c r="G17" s="68">
        <v>1</v>
      </c>
      <c r="H17" s="78">
        <v>1</v>
      </c>
      <c r="I17" s="104" t="e">
        <f t="shared" si="11"/>
        <v>#REF!</v>
      </c>
      <c r="J17" s="281"/>
      <c r="K17" s="285"/>
      <c r="L17" s="288"/>
      <c r="M17" s="294"/>
      <c r="N17" s="103" t="e">
        <f t="shared" ref="N17:N19" si="12">ROUND($M$16*E17,2)</f>
        <v>#REF!</v>
      </c>
      <c r="O17" s="18" t="e">
        <f t="shared" si="6"/>
        <v>#REF!</v>
      </c>
      <c r="P17" s="100" t="e">
        <f t="shared" ref="P17:P19" si="13">E17*$K$16</f>
        <v>#REF!</v>
      </c>
      <c r="Q17" s="65" t="e">
        <f t="shared" si="1"/>
        <v>#REF!</v>
      </c>
      <c r="R17" s="40" t="e">
        <f t="shared" si="2"/>
        <v>#REF!</v>
      </c>
      <c r="S17" s="39"/>
      <c r="T17" s="41" t="e">
        <f t="shared" si="3"/>
        <v>#REF!</v>
      </c>
      <c r="U17" s="39"/>
      <c r="V17" s="39"/>
    </row>
    <row r="18" spans="2:22" ht="43.9" customHeight="1" x14ac:dyDescent="0.3">
      <c r="B18" s="20"/>
      <c r="C18" s="9" t="s">
        <v>25</v>
      </c>
      <c r="D18" s="16" t="e">
        <f>$D$16</f>
        <v>#REF!</v>
      </c>
      <c r="E18" s="67" t="e">
        <f>#REF!</f>
        <v>#REF!</v>
      </c>
      <c r="F18" s="68" t="e">
        <f>#REF!</f>
        <v>#REF!</v>
      </c>
      <c r="G18" s="68">
        <v>1</v>
      </c>
      <c r="H18" s="78">
        <v>1</v>
      </c>
      <c r="I18" s="104" t="e">
        <f t="shared" si="11"/>
        <v>#REF!</v>
      </c>
      <c r="J18" s="281"/>
      <c r="K18" s="285"/>
      <c r="L18" s="288"/>
      <c r="M18" s="294"/>
      <c r="N18" s="103" t="e">
        <f>ROUND($M$16*E18,2)+0.01</f>
        <v>#REF!</v>
      </c>
      <c r="O18" s="18" t="e">
        <f t="shared" si="6"/>
        <v>#REF!</v>
      </c>
      <c r="P18" s="100" t="e">
        <f t="shared" si="13"/>
        <v>#REF!</v>
      </c>
      <c r="Q18" s="65" t="e">
        <f t="shared" si="1"/>
        <v>#REF!</v>
      </c>
      <c r="R18" s="40" t="e">
        <f t="shared" si="2"/>
        <v>#REF!</v>
      </c>
      <c r="S18" s="77"/>
      <c r="T18" s="41" t="e">
        <f t="shared" si="3"/>
        <v>#REF!</v>
      </c>
      <c r="U18" s="77"/>
      <c r="V18" s="39"/>
    </row>
    <row r="19" spans="2:22" ht="43.9" customHeight="1" x14ac:dyDescent="0.3">
      <c r="B19" s="20"/>
      <c r="C19" s="9" t="s">
        <v>26</v>
      </c>
      <c r="D19" s="16" t="e">
        <f>$D$16</f>
        <v>#REF!</v>
      </c>
      <c r="E19" s="67" t="e">
        <f>#REF!</f>
        <v>#REF!</v>
      </c>
      <c r="F19" s="68" t="e">
        <f>#REF!</f>
        <v>#REF!</v>
      </c>
      <c r="G19" s="68">
        <v>1</v>
      </c>
      <c r="H19" s="78">
        <v>1</v>
      </c>
      <c r="I19" s="104" t="e">
        <f>F19*G19*H19</f>
        <v>#REF!</v>
      </c>
      <c r="J19" s="282"/>
      <c r="K19" s="286"/>
      <c r="L19" s="289"/>
      <c r="M19" s="295"/>
      <c r="N19" s="103" t="e">
        <f t="shared" si="12"/>
        <v>#REF!</v>
      </c>
      <c r="O19" s="18" t="e">
        <f t="shared" si="6"/>
        <v>#REF!</v>
      </c>
      <c r="P19" s="100" t="e">
        <f t="shared" si="13"/>
        <v>#REF!</v>
      </c>
      <c r="Q19" s="65" t="e">
        <f>O19/(E19*D19)</f>
        <v>#REF!</v>
      </c>
      <c r="R19" s="40" t="e">
        <f>D19*E19*I19</f>
        <v>#REF!</v>
      </c>
      <c r="S19" s="48" t="e">
        <f>SUM(R16:R19)</f>
        <v>#REF!</v>
      </c>
      <c r="T19" s="41" t="e">
        <f>D19*E19</f>
        <v>#REF!</v>
      </c>
      <c r="U19" s="48" t="e">
        <f>SUM(T16:T19)</f>
        <v>#REF!</v>
      </c>
      <c r="V19" s="39"/>
    </row>
    <row r="20" spans="2:22" s="10" customFormat="1" ht="60" customHeight="1" x14ac:dyDescent="0.3">
      <c r="B20" s="11"/>
      <c r="C20" s="12" t="s">
        <v>13</v>
      </c>
      <c r="D20" s="70"/>
      <c r="E20" s="74" t="e">
        <f>SUM(E8:E19)</f>
        <v>#REF!</v>
      </c>
      <c r="F20" s="71"/>
      <c r="G20" s="71"/>
      <c r="H20" s="75"/>
      <c r="I20" s="72"/>
      <c r="J20" s="72"/>
      <c r="K20" s="72"/>
      <c r="L20" s="72"/>
      <c r="M20" s="72"/>
      <c r="N20" s="73" t="e">
        <f>SUM(N8:N19)</f>
        <v>#REF!</v>
      </c>
      <c r="O20" s="19" t="e">
        <f>SUM(O8:O19)</f>
        <v>#REF!</v>
      </c>
      <c r="P20" s="24" t="e">
        <f>SUM(P8:P19)</f>
        <v>#REF!</v>
      </c>
      <c r="Q20" s="65" t="e">
        <f>O20/(E20*D20)*1000</f>
        <v>#REF!</v>
      </c>
      <c r="R20" s="48" t="e">
        <f>SUM(R16:R19)</f>
        <v>#REF!</v>
      </c>
      <c r="T20" s="48" t="e">
        <f>SUM(T16:T19)</f>
        <v>#REF!</v>
      </c>
    </row>
    <row r="21" spans="2:22" ht="42.75" customHeight="1" x14ac:dyDescent="0.3">
      <c r="B21" s="21"/>
      <c r="C21" s="21"/>
      <c r="D21" s="57">
        <v>272365810</v>
      </c>
      <c r="E21" s="56"/>
      <c r="F21" s="21"/>
      <c r="G21" s="21"/>
      <c r="H21" s="76"/>
      <c r="I21" s="14"/>
      <c r="J21" s="14"/>
      <c r="K21" s="14"/>
      <c r="L21" s="14"/>
      <c r="M21" s="14"/>
      <c r="N21" s="23">
        <f>D21/9</f>
        <v>30262867.777777776</v>
      </c>
      <c r="O21" s="25"/>
      <c r="P21" s="15">
        <f>D21/9</f>
        <v>30262867.777777776</v>
      </c>
      <c r="Q21" s="15"/>
      <c r="R21" s="99"/>
    </row>
    <row r="22" spans="2:22" ht="18.75" customHeight="1" x14ac:dyDescent="0.3">
      <c r="B22" s="26"/>
      <c r="C22" s="26"/>
      <c r="D22" s="113" t="e">
        <f>D21-O20</f>
        <v>#REF!</v>
      </c>
      <c r="E22" s="27"/>
      <c r="F22" s="28"/>
      <c r="G22" s="21"/>
      <c r="H22" s="21"/>
      <c r="N22" s="17" t="e">
        <f>N21-N20</f>
        <v>#REF!</v>
      </c>
      <c r="O22" s="17" t="e">
        <f>D21-O20</f>
        <v>#REF!</v>
      </c>
      <c r="P22" s="15"/>
      <c r="Q22" s="15"/>
    </row>
    <row r="23" spans="2:22" ht="171" customHeight="1" x14ac:dyDescent="0.3">
      <c r="B23" s="26"/>
      <c r="C23" s="26"/>
      <c r="D23" s="27"/>
      <c r="E23" s="27"/>
      <c r="F23" s="62"/>
      <c r="G23" s="21"/>
      <c r="H23" s="21"/>
      <c r="P23" s="15"/>
      <c r="Q23" s="15"/>
    </row>
    <row r="24" spans="2:22" ht="24" customHeight="1" x14ac:dyDescent="0.3">
      <c r="B24" s="26"/>
      <c r="C24" s="26"/>
      <c r="D24" s="29"/>
      <c r="E24" s="27"/>
      <c r="F24" s="29"/>
      <c r="G24" s="21"/>
      <c r="H24" s="21"/>
    </row>
    <row r="25" spans="2:22" x14ac:dyDescent="0.3">
      <c r="B25" s="30"/>
      <c r="C25" s="30"/>
      <c r="D25" s="31"/>
      <c r="E25" s="31"/>
      <c r="F25" s="31"/>
      <c r="G25" s="21"/>
      <c r="H25" s="21"/>
    </row>
    <row r="26" spans="2:22" ht="50.25" customHeight="1" x14ac:dyDescent="0.3">
      <c r="B26" s="30"/>
      <c r="C26" s="21"/>
      <c r="D26" s="32"/>
      <c r="E26" s="33"/>
      <c r="F26" s="34"/>
      <c r="G26" s="21"/>
      <c r="H26" s="21"/>
    </row>
    <row r="27" spans="2:22" ht="50.25" customHeight="1" x14ac:dyDescent="0.3">
      <c r="B27" s="30"/>
      <c r="C27" s="21"/>
      <c r="D27" s="32"/>
      <c r="E27" s="33"/>
      <c r="F27" s="34"/>
      <c r="G27" s="21"/>
      <c r="H27" s="21"/>
    </row>
    <row r="28" spans="2:22" ht="50.25" customHeight="1" x14ac:dyDescent="0.3">
      <c r="B28" s="30"/>
      <c r="C28" s="21"/>
      <c r="D28" s="32"/>
      <c r="E28" s="33"/>
      <c r="F28" s="34"/>
      <c r="G28" s="21"/>
      <c r="H28" s="21"/>
    </row>
    <row r="29" spans="2:22" ht="50.25" customHeight="1" x14ac:dyDescent="0.3">
      <c r="B29" s="30"/>
      <c r="C29" s="21"/>
      <c r="D29" s="32"/>
      <c r="E29" s="33"/>
      <c r="F29" s="34"/>
      <c r="G29" s="21"/>
      <c r="H29" s="21"/>
    </row>
    <row r="30" spans="2:22" ht="50.25" customHeight="1" x14ac:dyDescent="0.3">
      <c r="B30" s="30"/>
      <c r="C30" s="21"/>
      <c r="D30" s="32"/>
      <c r="E30" s="33"/>
      <c r="F30" s="34"/>
      <c r="G30" s="21"/>
      <c r="H30" s="21"/>
    </row>
    <row r="31" spans="2:22" ht="50.25" customHeight="1" x14ac:dyDescent="0.3">
      <c r="B31" s="30"/>
      <c r="C31" s="21"/>
      <c r="D31" s="32"/>
      <c r="E31" s="33"/>
      <c r="F31" s="34"/>
      <c r="G31" s="21"/>
      <c r="H31" s="21"/>
    </row>
    <row r="32" spans="2:22" ht="50.25" customHeight="1" x14ac:dyDescent="0.3">
      <c r="B32" s="30"/>
      <c r="C32" s="21"/>
      <c r="D32" s="32"/>
      <c r="E32" s="33"/>
      <c r="F32" s="34"/>
      <c r="G32" s="21"/>
      <c r="H32" s="21"/>
    </row>
    <row r="33" spans="2:8" ht="50.25" customHeight="1" x14ac:dyDescent="0.3">
      <c r="B33" s="30"/>
      <c r="C33" s="21"/>
      <c r="D33" s="32"/>
      <c r="E33" s="33"/>
      <c r="F33" s="34"/>
      <c r="G33" s="21"/>
      <c r="H33" s="21"/>
    </row>
    <row r="34" spans="2:8" ht="50.25" customHeight="1" x14ac:dyDescent="0.3">
      <c r="B34" s="121"/>
      <c r="C34" s="35"/>
      <c r="D34" s="36"/>
      <c r="E34" s="36"/>
      <c r="F34" s="37"/>
      <c r="G34" s="21"/>
    </row>
    <row r="35" spans="2:8" x14ac:dyDescent="0.3">
      <c r="B35" s="21"/>
      <c r="C35" s="21"/>
      <c r="D35" s="21"/>
      <c r="E35" s="21"/>
      <c r="F35" s="21"/>
      <c r="G35" s="21"/>
    </row>
    <row r="36" spans="2:8" x14ac:dyDescent="0.3">
      <c r="B36" s="21"/>
      <c r="C36" s="21"/>
      <c r="D36" s="21"/>
      <c r="E36" s="21"/>
      <c r="F36" s="21"/>
      <c r="G36" s="21"/>
    </row>
    <row r="37" spans="2:8" x14ac:dyDescent="0.3">
      <c r="B37" s="21"/>
      <c r="C37" s="21"/>
      <c r="D37" s="21"/>
      <c r="E37" s="21"/>
      <c r="F37" s="21"/>
      <c r="G37" s="21"/>
    </row>
    <row r="38" spans="2:8" x14ac:dyDescent="0.3">
      <c r="B38" s="21"/>
      <c r="C38" s="21"/>
      <c r="D38" s="21"/>
      <c r="E38" s="21"/>
      <c r="F38" s="21"/>
      <c r="G38" s="21"/>
    </row>
    <row r="39" spans="2:8" x14ac:dyDescent="0.3">
      <c r="B39" s="21"/>
      <c r="C39" s="21"/>
      <c r="D39" s="21"/>
      <c r="E39" s="21"/>
      <c r="F39" s="21"/>
      <c r="G39" s="21"/>
    </row>
    <row r="40" spans="2:8" x14ac:dyDescent="0.3">
      <c r="B40" s="21"/>
      <c r="C40" s="21"/>
      <c r="D40" s="21"/>
      <c r="E40" s="21"/>
      <c r="F40" s="21"/>
      <c r="G40" s="21"/>
    </row>
    <row r="41" spans="2:8" x14ac:dyDescent="0.3">
      <c r="B41" s="21"/>
      <c r="C41" s="21"/>
      <c r="D41" s="21"/>
      <c r="E41" s="21"/>
      <c r="F41" s="21"/>
      <c r="G41" s="21"/>
    </row>
  </sheetData>
  <autoFilter ref="A7:P19"/>
  <mergeCells count="22">
    <mergeCell ref="J8:J15"/>
    <mergeCell ref="J16:J19"/>
    <mergeCell ref="M4:M5"/>
    <mergeCell ref="N4:N5"/>
    <mergeCell ref="O4:O5"/>
    <mergeCell ref="K8:K15"/>
    <mergeCell ref="K16:K19"/>
    <mergeCell ref="L8:L19"/>
    <mergeCell ref="M8:M15"/>
    <mergeCell ref="M16:M19"/>
    <mergeCell ref="P4:P5"/>
    <mergeCell ref="R6:S6"/>
    <mergeCell ref="M1:P1"/>
    <mergeCell ref="M2:P2"/>
    <mergeCell ref="C3:N3"/>
    <mergeCell ref="K4:K5"/>
    <mergeCell ref="L4:L5"/>
    <mergeCell ref="B4:B6"/>
    <mergeCell ref="C4:C6"/>
    <mergeCell ref="D4:D5"/>
    <mergeCell ref="E4:E5"/>
    <mergeCell ref="F4:J4"/>
  </mergeCells>
  <pageMargins left="0.23622047244094491" right="0.15748031496062992" top="0.15748031496062992" bottom="0.19685039370078741" header="0.15748031496062992" footer="0.15748031496062992"/>
  <pageSetup paperSize="9" scale="57" orientation="landscape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16"/>
  <sheetViews>
    <sheetView view="pageBreakPreview" topLeftCell="B10" zoomScale="80" zoomScaleNormal="80" zoomScaleSheetLayoutView="80" workbookViewId="0">
      <selection activeCell="C19" sqref="C19"/>
    </sheetView>
  </sheetViews>
  <sheetFormatPr defaultColWidth="9.140625" defaultRowHeight="15.75" x14ac:dyDescent="0.25"/>
  <cols>
    <col min="1" max="1" width="13.85546875" style="200" hidden="1" customWidth="1"/>
    <col min="2" max="2" width="5.7109375" style="200" customWidth="1"/>
    <col min="3" max="3" width="25.85546875" style="200" customWidth="1"/>
    <col min="4" max="4" width="16.140625" style="200" customWidth="1"/>
    <col min="5" max="5" width="18.42578125" style="200" customWidth="1"/>
    <col min="6" max="6" width="16.28515625" style="200" customWidth="1"/>
    <col min="7" max="7" width="17.85546875" style="203" customWidth="1"/>
    <col min="8" max="8" width="16.28515625" style="203" customWidth="1"/>
    <col min="9" max="9" width="18.42578125" style="203" customWidth="1"/>
    <col min="10" max="10" width="17.7109375" style="200" customWidth="1"/>
    <col min="11" max="11" width="23.5703125" style="200" customWidth="1"/>
    <col min="12" max="12" width="22.85546875" style="200" customWidth="1"/>
    <col min="13" max="13" width="17.140625" style="200" customWidth="1"/>
    <col min="14" max="14" width="19.28515625" style="200" customWidth="1"/>
    <col min="15" max="15" width="15" style="200" customWidth="1"/>
    <col min="16" max="16" width="15" style="200" bestFit="1" customWidth="1"/>
    <col min="17" max="17" width="18.85546875" style="200" customWidth="1"/>
    <col min="18" max="18" width="20.85546875" style="200" customWidth="1"/>
    <col min="19" max="19" width="18.42578125" style="200" customWidth="1"/>
    <col min="20" max="16384" width="9.140625" style="200"/>
  </cols>
  <sheetData>
    <row r="1" spans="1:19" ht="18" customHeight="1" x14ac:dyDescent="0.3">
      <c r="J1" s="307" t="s">
        <v>118</v>
      </c>
      <c r="K1" s="307"/>
      <c r="L1" s="307"/>
    </row>
    <row r="2" spans="1:19" ht="18" customHeight="1" x14ac:dyDescent="0.3">
      <c r="J2" s="307" t="s">
        <v>119</v>
      </c>
      <c r="K2" s="307"/>
      <c r="L2" s="307"/>
    </row>
    <row r="3" spans="1:19" ht="18.75" customHeight="1" x14ac:dyDescent="0.3">
      <c r="J3" s="307" t="s">
        <v>120</v>
      </c>
      <c r="K3" s="307"/>
      <c r="L3" s="307"/>
    </row>
    <row r="4" spans="1:19" ht="18.75" customHeight="1" x14ac:dyDescent="0.3">
      <c r="J4" s="308"/>
      <c r="K4" s="308"/>
      <c r="L4" s="308"/>
    </row>
    <row r="5" spans="1:19" ht="20.25" hidden="1" customHeight="1" x14ac:dyDescent="0.3">
      <c r="K5" s="306"/>
      <c r="L5" s="306"/>
    </row>
    <row r="6" spans="1:19" ht="46.5" customHeight="1" x14ac:dyDescent="0.25">
      <c r="C6" s="305" t="s">
        <v>117</v>
      </c>
      <c r="D6" s="305"/>
      <c r="E6" s="305"/>
      <c r="F6" s="305"/>
      <c r="G6" s="305"/>
      <c r="H6" s="305"/>
      <c r="I6" s="305"/>
      <c r="J6" s="305"/>
      <c r="K6" s="305"/>
      <c r="L6" s="305"/>
    </row>
    <row r="7" spans="1:19" ht="22.5" customHeight="1" x14ac:dyDescent="0.25">
      <c r="C7" s="303" t="s">
        <v>116</v>
      </c>
      <c r="D7" s="304"/>
      <c r="E7" s="304"/>
      <c r="F7" s="304"/>
      <c r="G7" s="304"/>
      <c r="H7" s="304"/>
      <c r="I7" s="304"/>
      <c r="J7" s="304"/>
      <c r="K7" s="304"/>
      <c r="L7" s="304"/>
    </row>
    <row r="8" spans="1:19" ht="24.75" customHeight="1" thickBot="1" x14ac:dyDescent="0.3">
      <c r="C8" s="302" t="s">
        <v>99</v>
      </c>
      <c r="D8" s="302"/>
      <c r="E8" s="302"/>
      <c r="F8" s="302"/>
      <c r="G8" s="302"/>
      <c r="H8" s="302"/>
      <c r="I8" s="302"/>
      <c r="J8" s="302"/>
      <c r="K8" s="302"/>
      <c r="L8" s="302"/>
    </row>
    <row r="9" spans="1:19" s="201" customFormat="1" ht="21" customHeight="1" x14ac:dyDescent="0.25">
      <c r="B9" s="309" t="s">
        <v>86</v>
      </c>
      <c r="C9" s="311" t="s">
        <v>8</v>
      </c>
      <c r="D9" s="322" t="s">
        <v>80</v>
      </c>
      <c r="E9" s="325" t="s">
        <v>121</v>
      </c>
      <c r="F9" s="316" t="s">
        <v>103</v>
      </c>
      <c r="G9" s="317"/>
      <c r="H9" s="317"/>
      <c r="I9" s="318"/>
      <c r="J9" s="313" t="s">
        <v>110</v>
      </c>
      <c r="K9" s="296" t="s">
        <v>111</v>
      </c>
      <c r="L9" s="299" t="s">
        <v>92</v>
      </c>
    </row>
    <row r="10" spans="1:19" s="202" customFormat="1" ht="12" customHeight="1" x14ac:dyDescent="0.25">
      <c r="B10" s="310"/>
      <c r="C10" s="312"/>
      <c r="D10" s="323"/>
      <c r="E10" s="326"/>
      <c r="F10" s="319"/>
      <c r="G10" s="320"/>
      <c r="H10" s="320"/>
      <c r="I10" s="321"/>
      <c r="J10" s="314"/>
      <c r="K10" s="297"/>
      <c r="L10" s="300"/>
    </row>
    <row r="11" spans="1:19" s="202" customFormat="1" ht="386.25" customHeight="1" x14ac:dyDescent="0.25">
      <c r="B11" s="310"/>
      <c r="C11" s="312"/>
      <c r="D11" s="324"/>
      <c r="E11" s="327"/>
      <c r="F11" s="222" t="s">
        <v>105</v>
      </c>
      <c r="G11" s="222" t="s">
        <v>107</v>
      </c>
      <c r="H11" s="222" t="s">
        <v>108</v>
      </c>
      <c r="I11" s="222" t="s">
        <v>106</v>
      </c>
      <c r="J11" s="315"/>
      <c r="K11" s="298"/>
      <c r="L11" s="301"/>
    </row>
    <row r="12" spans="1:19" s="203" customFormat="1" ht="21" customHeight="1" thickBot="1" x14ac:dyDescent="0.3">
      <c r="B12" s="310"/>
      <c r="C12" s="312"/>
      <c r="D12" s="355" t="s">
        <v>87</v>
      </c>
      <c r="E12" s="356" t="s">
        <v>76</v>
      </c>
      <c r="F12" s="357" t="s">
        <v>83</v>
      </c>
      <c r="G12" s="357" t="s">
        <v>82</v>
      </c>
      <c r="H12" s="357" t="s">
        <v>84</v>
      </c>
      <c r="I12" s="357" t="s">
        <v>85</v>
      </c>
      <c r="J12" s="358" t="s">
        <v>75</v>
      </c>
      <c r="K12" s="358" t="s">
        <v>77</v>
      </c>
      <c r="L12" s="359" t="s">
        <v>81</v>
      </c>
      <c r="M12" s="214"/>
      <c r="N12" s="204"/>
      <c r="O12" s="159"/>
      <c r="P12" s="159"/>
    </row>
    <row r="13" spans="1:19" s="203" customFormat="1" ht="21" customHeight="1" thickBot="1" x14ac:dyDescent="0.3">
      <c r="B13" s="360">
        <v>1</v>
      </c>
      <c r="C13" s="361">
        <v>2</v>
      </c>
      <c r="D13" s="360">
        <v>3</v>
      </c>
      <c r="E13" s="362">
        <v>4</v>
      </c>
      <c r="F13" s="363">
        <v>5</v>
      </c>
      <c r="G13" s="364">
        <v>6</v>
      </c>
      <c r="H13" s="364">
        <v>7</v>
      </c>
      <c r="I13" s="363">
        <v>8</v>
      </c>
      <c r="J13" s="364">
        <v>9</v>
      </c>
      <c r="K13" s="364">
        <v>10</v>
      </c>
      <c r="L13" s="365">
        <v>11</v>
      </c>
    </row>
    <row r="14" spans="1:19" ht="51.75" customHeight="1" x14ac:dyDescent="0.25">
      <c r="A14" s="200">
        <v>1343001</v>
      </c>
      <c r="B14" s="344">
        <v>1</v>
      </c>
      <c r="C14" s="345" t="s">
        <v>104</v>
      </c>
      <c r="D14" s="346">
        <v>786.07263999999998</v>
      </c>
      <c r="E14" s="347">
        <v>17058</v>
      </c>
      <c r="F14" s="348">
        <v>1.71902</v>
      </c>
      <c r="G14" s="349">
        <v>1</v>
      </c>
      <c r="H14" s="350">
        <v>1</v>
      </c>
      <c r="I14" s="351">
        <v>1</v>
      </c>
      <c r="J14" s="352">
        <f>ROUND(D14*F14*I14*G14*H14,5)</f>
        <v>1351.27459</v>
      </c>
      <c r="K14" s="353">
        <f>ROUND(J14*E14,2)</f>
        <v>23050041.960000001</v>
      </c>
      <c r="L14" s="354">
        <v>271886959.51999998</v>
      </c>
      <c r="M14" s="206"/>
      <c r="N14" s="206"/>
      <c r="O14" s="207"/>
      <c r="Q14" s="207"/>
      <c r="R14" s="207"/>
      <c r="S14" s="208"/>
    </row>
    <row r="15" spans="1:19" ht="36" customHeight="1" x14ac:dyDescent="0.25">
      <c r="B15" s="209">
        <v>2</v>
      </c>
      <c r="C15" s="215" t="s">
        <v>78</v>
      </c>
      <c r="D15" s="227">
        <v>786.07263999999998</v>
      </c>
      <c r="E15" s="224">
        <v>38515</v>
      </c>
      <c r="F15" s="229">
        <v>1.0300100000000001</v>
      </c>
      <c r="G15" s="211">
        <v>1.3</v>
      </c>
      <c r="H15" s="235">
        <v>1.0884609999999999</v>
      </c>
      <c r="I15" s="223">
        <v>1.2</v>
      </c>
      <c r="J15" s="231">
        <f t="shared" ref="J15:J16" si="0">ROUND(D15*F15*I15*G15*H15,5)</f>
        <v>1374.80655</v>
      </c>
      <c r="K15" s="205">
        <f t="shared" ref="K15:K16" si="1">ROUND(J15*E15,2)</f>
        <v>52950674.270000003</v>
      </c>
      <c r="L15" s="217">
        <v>632027116.02999997</v>
      </c>
      <c r="M15" s="206"/>
      <c r="N15" s="206"/>
      <c r="O15" s="207"/>
      <c r="Q15" s="207"/>
      <c r="R15" s="207"/>
      <c r="S15" s="208"/>
    </row>
    <row r="16" spans="1:19" ht="34.5" customHeight="1" thickBot="1" x14ac:dyDescent="0.3">
      <c r="B16" s="210">
        <v>3</v>
      </c>
      <c r="C16" s="216" t="s">
        <v>79</v>
      </c>
      <c r="D16" s="228">
        <v>786.07263999999998</v>
      </c>
      <c r="E16" s="226">
        <v>67438</v>
      </c>
      <c r="F16" s="230">
        <v>0.87634999999999996</v>
      </c>
      <c r="G16" s="212">
        <v>1</v>
      </c>
      <c r="H16" s="236">
        <v>0.88778199999999996</v>
      </c>
      <c r="I16" s="237">
        <v>0.82547300000000001</v>
      </c>
      <c r="J16" s="341">
        <f t="shared" si="0"/>
        <v>504.83503000000002</v>
      </c>
      <c r="K16" s="342">
        <f t="shared" si="1"/>
        <v>34045064.75</v>
      </c>
      <c r="L16" s="343">
        <v>416901146.72000003</v>
      </c>
      <c r="M16" s="206"/>
      <c r="N16" s="206"/>
      <c r="O16" s="207"/>
      <c r="Q16" s="207"/>
      <c r="R16" s="207"/>
      <c r="S16" s="208"/>
    </row>
  </sheetData>
  <mergeCells count="16">
    <mergeCell ref="B9:B12"/>
    <mergeCell ref="C9:C12"/>
    <mergeCell ref="J9:J11"/>
    <mergeCell ref="F9:I10"/>
    <mergeCell ref="D9:D11"/>
    <mergeCell ref="E9:E11"/>
    <mergeCell ref="K5:L5"/>
    <mergeCell ref="J2:L2"/>
    <mergeCell ref="J1:L1"/>
    <mergeCell ref="J3:L3"/>
    <mergeCell ref="J4:L4"/>
    <mergeCell ref="K9:K11"/>
    <mergeCell ref="L9:L11"/>
    <mergeCell ref="C8:L8"/>
    <mergeCell ref="C7:L7"/>
    <mergeCell ref="C6:L6"/>
  </mergeCells>
  <pageMargins left="0.62992125984251968" right="0.15748031496062992" top="0.74803149606299213" bottom="0.39370078740157483" header="0.15748031496062992" footer="0.15748031496062992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16"/>
  <sheetViews>
    <sheetView view="pageBreakPreview" topLeftCell="B1" zoomScale="80" zoomScaleNormal="80" zoomScaleSheetLayoutView="80" workbookViewId="0">
      <selection activeCell="B13" sqref="B13:L13"/>
    </sheetView>
  </sheetViews>
  <sheetFormatPr defaultColWidth="9.140625" defaultRowHeight="15.75" x14ac:dyDescent="0.25"/>
  <cols>
    <col min="1" max="1" width="13.85546875" style="200" hidden="1" customWidth="1"/>
    <col min="2" max="2" width="5.7109375" style="200" customWidth="1"/>
    <col min="3" max="3" width="32.140625" style="200" customWidth="1"/>
    <col min="4" max="4" width="16.140625" style="200" customWidth="1"/>
    <col min="5" max="5" width="18.42578125" style="200" customWidth="1"/>
    <col min="6" max="6" width="16.28515625" style="200" customWidth="1"/>
    <col min="7" max="7" width="18.5703125" style="203" customWidth="1"/>
    <col min="8" max="8" width="16.28515625" style="203" customWidth="1"/>
    <col min="9" max="9" width="18.7109375" style="203" customWidth="1"/>
    <col min="10" max="10" width="17.7109375" style="200" customWidth="1"/>
    <col min="11" max="11" width="23.5703125" style="200" customWidth="1"/>
    <col min="12" max="12" width="22.85546875" style="200" customWidth="1"/>
    <col min="13" max="13" width="17.140625" style="200" customWidth="1"/>
    <col min="14" max="14" width="19.28515625" style="200" customWidth="1"/>
    <col min="15" max="15" width="15" style="200" customWidth="1"/>
    <col min="16" max="16" width="15" style="200" bestFit="1" customWidth="1"/>
    <col min="17" max="17" width="18.85546875" style="200" customWidth="1"/>
    <col min="18" max="18" width="20.85546875" style="200" customWidth="1"/>
    <col min="19" max="19" width="18.42578125" style="200" customWidth="1"/>
    <col min="20" max="16384" width="9.140625" style="200"/>
  </cols>
  <sheetData>
    <row r="1" spans="2:19" ht="18" customHeight="1" x14ac:dyDescent="0.3">
      <c r="J1" s="307" t="str">
        <f>'1. АМП_без Акуш и Стомат'!J1:L1</f>
        <v>Приложение № 7</v>
      </c>
      <c r="K1" s="307"/>
      <c r="L1" s="307"/>
    </row>
    <row r="2" spans="2:19" ht="18.75" customHeight="1" x14ac:dyDescent="0.3">
      <c r="J2" s="307" t="str">
        <f>'1. АМП_без Акуш и Стомат'!J2:L2</f>
        <v>к Дополнительному соглашению № 1</v>
      </c>
      <c r="K2" s="307"/>
      <c r="L2" s="307"/>
    </row>
    <row r="3" spans="2:19" ht="18.75" customHeight="1" x14ac:dyDescent="0.3">
      <c r="J3" s="307" t="str">
        <f>'1. АМП_без Акуш и Стомат'!J3:L3</f>
        <v>от "15"февраля 2024 года</v>
      </c>
      <c r="K3" s="307"/>
      <c r="L3" s="307"/>
    </row>
    <row r="4" spans="2:19" ht="18.75" customHeight="1" x14ac:dyDescent="0.3">
      <c r="J4" s="308">
        <f>'1. АМП_без Акуш и Стомат'!J4:L4</f>
        <v>0</v>
      </c>
      <c r="K4" s="308"/>
      <c r="L4" s="308"/>
    </row>
    <row r="5" spans="2:19" ht="20.25" customHeight="1" x14ac:dyDescent="0.25">
      <c r="K5" s="328"/>
      <c r="L5" s="328"/>
    </row>
    <row r="6" spans="2:19" ht="46.5" customHeight="1" x14ac:dyDescent="0.25">
      <c r="C6" s="305" t="s">
        <v>115</v>
      </c>
      <c r="D6" s="305"/>
      <c r="E6" s="305"/>
      <c r="F6" s="305"/>
      <c r="G6" s="305"/>
      <c r="H6" s="305"/>
      <c r="I6" s="305"/>
      <c r="J6" s="305"/>
      <c r="K6" s="305"/>
      <c r="L6" s="305"/>
    </row>
    <row r="7" spans="2:19" ht="22.5" customHeight="1" x14ac:dyDescent="0.25">
      <c r="C7" s="303" t="str">
        <f>'1. АМП_без Акуш и Стомат'!C7:L7</f>
        <v>(вступает в действие с 01 февраля 2024 года)</v>
      </c>
      <c r="D7" s="303"/>
      <c r="E7" s="303"/>
      <c r="F7" s="303"/>
      <c r="G7" s="303"/>
      <c r="H7" s="303"/>
      <c r="I7" s="303"/>
      <c r="J7" s="303"/>
      <c r="K7" s="303"/>
      <c r="L7" s="303"/>
    </row>
    <row r="8" spans="2:19" ht="24.75" customHeight="1" thickBot="1" x14ac:dyDescent="0.3">
      <c r="C8" s="302" t="s">
        <v>100</v>
      </c>
      <c r="D8" s="302"/>
      <c r="E8" s="302"/>
      <c r="F8" s="302"/>
      <c r="G8" s="302"/>
      <c r="H8" s="302"/>
      <c r="I8" s="302"/>
      <c r="J8" s="302"/>
      <c r="K8" s="302"/>
      <c r="L8" s="302"/>
    </row>
    <row r="9" spans="2:19" s="201" customFormat="1" ht="17.25" customHeight="1" x14ac:dyDescent="0.25">
      <c r="B9" s="309" t="s">
        <v>86</v>
      </c>
      <c r="C9" s="311" t="s">
        <v>8</v>
      </c>
      <c r="D9" s="322" t="s">
        <v>80</v>
      </c>
      <c r="E9" s="325" t="str">
        <f>'1. АМП_без Акуш и Стомат'!E9:E11</f>
        <v>Среднемесячная численность прикрепленных к медицинской организации лиц за январь 2024 года (чел.)</v>
      </c>
      <c r="F9" s="316" t="s">
        <v>103</v>
      </c>
      <c r="G9" s="317"/>
      <c r="H9" s="317"/>
      <c r="I9" s="318"/>
      <c r="J9" s="313" t="s">
        <v>109</v>
      </c>
      <c r="K9" s="296" t="s">
        <v>112</v>
      </c>
      <c r="L9" s="299" t="s">
        <v>102</v>
      </c>
    </row>
    <row r="10" spans="2:19" s="202" customFormat="1" ht="10.5" customHeight="1" x14ac:dyDescent="0.25">
      <c r="B10" s="310"/>
      <c r="C10" s="312"/>
      <c r="D10" s="323"/>
      <c r="E10" s="326"/>
      <c r="F10" s="319"/>
      <c r="G10" s="320"/>
      <c r="H10" s="320"/>
      <c r="I10" s="321"/>
      <c r="J10" s="314"/>
      <c r="K10" s="297"/>
      <c r="L10" s="300"/>
    </row>
    <row r="11" spans="2:19" s="202" customFormat="1" ht="371.25" customHeight="1" x14ac:dyDescent="0.25">
      <c r="B11" s="310"/>
      <c r="C11" s="312"/>
      <c r="D11" s="324"/>
      <c r="E11" s="327"/>
      <c r="F11" s="222" t="s">
        <v>105</v>
      </c>
      <c r="G11" s="222" t="s">
        <v>107</v>
      </c>
      <c r="H11" s="222" t="s">
        <v>108</v>
      </c>
      <c r="I11" s="222" t="s">
        <v>106</v>
      </c>
      <c r="J11" s="315"/>
      <c r="K11" s="298"/>
      <c r="L11" s="301"/>
    </row>
    <row r="12" spans="2:19" s="203" customFormat="1" ht="21" customHeight="1" thickBot="1" x14ac:dyDescent="0.3">
      <c r="B12" s="310"/>
      <c r="C12" s="312"/>
      <c r="D12" s="355" t="s">
        <v>88</v>
      </c>
      <c r="E12" s="356" t="s">
        <v>76</v>
      </c>
      <c r="F12" s="357" t="s">
        <v>83</v>
      </c>
      <c r="G12" s="357" t="s">
        <v>82</v>
      </c>
      <c r="H12" s="357" t="s">
        <v>84</v>
      </c>
      <c r="I12" s="357" t="s">
        <v>85</v>
      </c>
      <c r="J12" s="358" t="s">
        <v>89</v>
      </c>
      <c r="K12" s="358" t="s">
        <v>91</v>
      </c>
      <c r="L12" s="359" t="s">
        <v>90</v>
      </c>
      <c r="M12" s="214"/>
      <c r="N12" s="204"/>
      <c r="O12" s="159"/>
      <c r="P12" s="159"/>
    </row>
    <row r="13" spans="2:19" s="203" customFormat="1" ht="21" customHeight="1" thickBot="1" x14ac:dyDescent="0.3">
      <c r="B13" s="360">
        <v>1</v>
      </c>
      <c r="C13" s="361">
        <v>2</v>
      </c>
      <c r="D13" s="360">
        <v>3</v>
      </c>
      <c r="E13" s="362">
        <v>4</v>
      </c>
      <c r="F13" s="363">
        <v>5</v>
      </c>
      <c r="G13" s="364">
        <v>6</v>
      </c>
      <c r="H13" s="364">
        <v>7</v>
      </c>
      <c r="I13" s="363">
        <v>8</v>
      </c>
      <c r="J13" s="364">
        <v>9</v>
      </c>
      <c r="K13" s="364">
        <v>10</v>
      </c>
      <c r="L13" s="365">
        <v>11</v>
      </c>
    </row>
    <row r="14" spans="2:19" ht="51.75" customHeight="1" x14ac:dyDescent="0.25">
      <c r="B14" s="344">
        <v>1</v>
      </c>
      <c r="C14" s="345" t="s">
        <v>104</v>
      </c>
      <c r="D14" s="346">
        <v>108.25434</v>
      </c>
      <c r="E14" s="347">
        <v>43034</v>
      </c>
      <c r="F14" s="366">
        <v>1.1684000000000001</v>
      </c>
      <c r="G14" s="367">
        <v>1</v>
      </c>
      <c r="H14" s="367">
        <v>1</v>
      </c>
      <c r="I14" s="368">
        <v>1</v>
      </c>
      <c r="J14" s="352">
        <f>ROUND(D14*F14*I14*G14*H14,5)</f>
        <v>126.48437</v>
      </c>
      <c r="K14" s="353">
        <f>ROUND(J14*E14,2)</f>
        <v>5443128.3799999999</v>
      </c>
      <c r="L14" s="354">
        <f>K14*12</f>
        <v>65317540.560000002</v>
      </c>
      <c r="M14" s="206"/>
      <c r="N14" s="206"/>
      <c r="O14" s="207"/>
      <c r="Q14" s="207"/>
      <c r="R14" s="207"/>
      <c r="S14" s="208"/>
    </row>
    <row r="15" spans="2:19" ht="36" customHeight="1" x14ac:dyDescent="0.25">
      <c r="B15" s="219">
        <v>2</v>
      </c>
      <c r="C15" s="220" t="s">
        <v>78</v>
      </c>
      <c r="D15" s="232">
        <v>108.25434</v>
      </c>
      <c r="E15" s="225">
        <v>18986</v>
      </c>
      <c r="F15" s="221">
        <v>1.1879</v>
      </c>
      <c r="G15" s="238">
        <v>1.3</v>
      </c>
      <c r="H15" s="238">
        <v>1</v>
      </c>
      <c r="I15" s="239">
        <v>1</v>
      </c>
      <c r="J15" s="231">
        <f t="shared" ref="J15:J16" si="0">ROUND(D15*F15*I15*G15*H15,5)</f>
        <v>167.17393000000001</v>
      </c>
      <c r="K15" s="205">
        <f t="shared" ref="K15:K16" si="1">ROUND(J15*E15,2)</f>
        <v>3173964.23</v>
      </c>
      <c r="L15" s="217">
        <f t="shared" ref="L15:L16" si="2">K15*12</f>
        <v>38087570.759999998</v>
      </c>
      <c r="M15" s="206"/>
      <c r="N15" s="206"/>
      <c r="O15" s="207"/>
      <c r="Q15" s="207"/>
      <c r="R15" s="207"/>
      <c r="S15" s="208"/>
    </row>
    <row r="16" spans="2:19" ht="41.25" customHeight="1" thickBot="1" x14ac:dyDescent="0.3">
      <c r="B16" s="210">
        <v>3</v>
      </c>
      <c r="C16" s="216" t="s">
        <v>79</v>
      </c>
      <c r="D16" s="228">
        <v>108.25434</v>
      </c>
      <c r="E16" s="226">
        <v>580</v>
      </c>
      <c r="F16" s="218">
        <v>1.4585999999999999</v>
      </c>
      <c r="G16" s="234">
        <v>1</v>
      </c>
      <c r="H16" s="234">
        <v>1</v>
      </c>
      <c r="I16" s="240">
        <v>1</v>
      </c>
      <c r="J16" s="341">
        <f t="shared" si="0"/>
        <v>157.89977999999999</v>
      </c>
      <c r="K16" s="342">
        <f t="shared" si="1"/>
        <v>91581.87</v>
      </c>
      <c r="L16" s="343">
        <f t="shared" si="2"/>
        <v>1098982.44</v>
      </c>
      <c r="M16" s="206"/>
      <c r="N16" s="206"/>
      <c r="O16" s="207"/>
      <c r="Q16" s="207"/>
      <c r="R16" s="207"/>
      <c r="S16" s="208"/>
    </row>
  </sheetData>
  <mergeCells count="16">
    <mergeCell ref="L9:L11"/>
    <mergeCell ref="C8:L8"/>
    <mergeCell ref="B9:B12"/>
    <mergeCell ref="C9:C12"/>
    <mergeCell ref="D9:D11"/>
    <mergeCell ref="E9:E11"/>
    <mergeCell ref="F9:I10"/>
    <mergeCell ref="J9:J11"/>
    <mergeCell ref="K9:K11"/>
    <mergeCell ref="C7:L7"/>
    <mergeCell ref="K5:L5"/>
    <mergeCell ref="C6:L6"/>
    <mergeCell ref="J1:L1"/>
    <mergeCell ref="J2:L2"/>
    <mergeCell ref="J3:L3"/>
    <mergeCell ref="J4:L4"/>
  </mergeCells>
  <pageMargins left="0.62992125984251968" right="0.15748031496062992" top="0.74803149606299213" bottom="0.39370078740157483" header="0.15748031496062992" footer="0.15748031496062992"/>
  <pageSetup paperSize="9" scale="6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17"/>
  <sheetViews>
    <sheetView tabSelected="1" view="pageBreakPreview" topLeftCell="B7" zoomScale="80" zoomScaleNormal="80" zoomScaleSheetLayoutView="80" workbookViewId="0">
      <selection activeCell="R11" sqref="R11"/>
    </sheetView>
  </sheetViews>
  <sheetFormatPr defaultColWidth="9.140625" defaultRowHeight="15.75" x14ac:dyDescent="0.25"/>
  <cols>
    <col min="1" max="1" width="13.85546875" style="200" hidden="1" customWidth="1"/>
    <col min="2" max="2" width="5.7109375" style="200" customWidth="1"/>
    <col min="3" max="3" width="22.5703125" style="200" customWidth="1"/>
    <col min="4" max="4" width="16.140625" style="200" customWidth="1"/>
    <col min="5" max="5" width="18.42578125" style="200" customWidth="1"/>
    <col min="6" max="6" width="16.28515625" style="200" customWidth="1"/>
    <col min="7" max="7" width="18.28515625" style="203" customWidth="1"/>
    <col min="8" max="8" width="17.140625" style="203" customWidth="1"/>
    <col min="9" max="9" width="18.42578125" style="203" customWidth="1"/>
    <col min="10" max="10" width="17.7109375" style="200" customWidth="1"/>
    <col min="11" max="11" width="23.5703125" style="200" customWidth="1"/>
    <col min="12" max="12" width="22.85546875" style="200" customWidth="1"/>
    <col min="13" max="13" width="17.140625" style="200" customWidth="1"/>
    <col min="14" max="14" width="19.28515625" style="200" customWidth="1"/>
    <col min="15" max="15" width="15" style="200" customWidth="1"/>
    <col min="16" max="16" width="15" style="200" bestFit="1" customWidth="1"/>
    <col min="17" max="17" width="18.85546875" style="200" customWidth="1"/>
    <col min="18" max="18" width="20.85546875" style="200" customWidth="1"/>
    <col min="19" max="19" width="18.42578125" style="200" customWidth="1"/>
    <col min="20" max="16384" width="9.140625" style="200"/>
  </cols>
  <sheetData>
    <row r="1" spans="2:19" ht="18" customHeight="1" x14ac:dyDescent="0.3">
      <c r="J1" s="307" t="str">
        <f>'1. АМП_без Акуш и Стомат'!J1:L1</f>
        <v>Приложение № 7</v>
      </c>
      <c r="K1" s="307"/>
      <c r="L1" s="307"/>
    </row>
    <row r="2" spans="2:19" ht="18.75" customHeight="1" x14ac:dyDescent="0.3">
      <c r="J2" s="307" t="str">
        <f>'1. АМП_без Акуш и Стомат'!J2:L2</f>
        <v>к Дополнительному соглашению № 1</v>
      </c>
      <c r="K2" s="307"/>
      <c r="L2" s="307"/>
    </row>
    <row r="3" spans="2:19" ht="18.75" customHeight="1" x14ac:dyDescent="0.3">
      <c r="J3" s="307" t="str">
        <f>'1. АМП_без Акуш и Стомат'!J3:L3</f>
        <v>от "15"февраля 2024 года</v>
      </c>
      <c r="K3" s="307"/>
      <c r="L3" s="307"/>
    </row>
    <row r="4" spans="2:19" ht="20.25" customHeight="1" x14ac:dyDescent="0.3">
      <c r="J4" s="308">
        <f>'1. АМП_без Акуш и Стомат'!J4:L4</f>
        <v>0</v>
      </c>
      <c r="K4" s="308"/>
      <c r="L4" s="308"/>
    </row>
    <row r="5" spans="2:19" ht="20.25" customHeight="1" x14ac:dyDescent="0.3">
      <c r="J5" s="233"/>
      <c r="K5" s="233"/>
      <c r="L5" s="233"/>
    </row>
    <row r="6" spans="2:19" ht="46.5" customHeight="1" x14ac:dyDescent="0.25">
      <c r="C6" s="305" t="s">
        <v>114</v>
      </c>
      <c r="D6" s="305"/>
      <c r="E6" s="305"/>
      <c r="F6" s="305"/>
      <c r="G6" s="305"/>
      <c r="H6" s="305"/>
      <c r="I6" s="305"/>
      <c r="J6" s="305"/>
      <c r="K6" s="305"/>
      <c r="L6" s="305"/>
    </row>
    <row r="7" spans="2:19" ht="22.5" customHeight="1" x14ac:dyDescent="0.25">
      <c r="C7" s="303" t="str">
        <f>'1. АМП_без Акуш и Стомат'!C7:L7</f>
        <v>(вступает в действие с 01 февраля 2024 года)</v>
      </c>
      <c r="D7" s="303"/>
      <c r="E7" s="303"/>
      <c r="F7" s="303"/>
      <c r="G7" s="303"/>
      <c r="H7" s="303"/>
      <c r="I7" s="303"/>
      <c r="J7" s="303"/>
      <c r="K7" s="303"/>
      <c r="L7" s="303"/>
    </row>
    <row r="8" spans="2:19" ht="24.75" customHeight="1" thickBot="1" x14ac:dyDescent="0.3">
      <c r="C8" s="302" t="s">
        <v>101</v>
      </c>
      <c r="D8" s="302"/>
      <c r="E8" s="302"/>
      <c r="F8" s="302"/>
      <c r="G8" s="302"/>
      <c r="H8" s="302"/>
      <c r="I8" s="302"/>
      <c r="J8" s="302"/>
      <c r="K8" s="302"/>
      <c r="L8" s="302"/>
    </row>
    <row r="9" spans="2:19" s="201" customFormat="1" ht="12.75" customHeight="1" x14ac:dyDescent="0.25">
      <c r="B9" s="309" t="s">
        <v>86</v>
      </c>
      <c r="C9" s="311" t="s">
        <v>8</v>
      </c>
      <c r="D9" s="322" t="s">
        <v>80</v>
      </c>
      <c r="E9" s="325" t="str">
        <f>'1. АМП_без Акуш и Стомат'!E9:E11</f>
        <v>Среднемесячная численность прикрепленных к медицинской организации лиц за январь 2024 года (чел.)</v>
      </c>
      <c r="F9" s="316" t="s">
        <v>103</v>
      </c>
      <c r="G9" s="317"/>
      <c r="H9" s="317"/>
      <c r="I9" s="318"/>
      <c r="J9" s="313" t="s">
        <v>93</v>
      </c>
      <c r="K9" s="296" t="s">
        <v>113</v>
      </c>
      <c r="L9" s="299" t="s">
        <v>94</v>
      </c>
    </row>
    <row r="10" spans="2:19" s="202" customFormat="1" ht="17.25" customHeight="1" x14ac:dyDescent="0.25">
      <c r="B10" s="310"/>
      <c r="C10" s="312"/>
      <c r="D10" s="323"/>
      <c r="E10" s="326"/>
      <c r="F10" s="319"/>
      <c r="G10" s="320"/>
      <c r="H10" s="320"/>
      <c r="I10" s="321"/>
      <c r="J10" s="314"/>
      <c r="K10" s="297"/>
      <c r="L10" s="300"/>
    </row>
    <row r="11" spans="2:19" s="202" customFormat="1" ht="387" customHeight="1" x14ac:dyDescent="0.25">
      <c r="B11" s="310"/>
      <c r="C11" s="312"/>
      <c r="D11" s="324"/>
      <c r="E11" s="327"/>
      <c r="F11" s="222" t="s">
        <v>105</v>
      </c>
      <c r="G11" s="222" t="s">
        <v>107</v>
      </c>
      <c r="H11" s="222" t="s">
        <v>108</v>
      </c>
      <c r="I11" s="222" t="s">
        <v>106</v>
      </c>
      <c r="J11" s="315"/>
      <c r="K11" s="298"/>
      <c r="L11" s="301"/>
    </row>
    <row r="12" spans="2:19" s="203" customFormat="1" ht="21" customHeight="1" thickBot="1" x14ac:dyDescent="0.3">
      <c r="B12" s="310"/>
      <c r="C12" s="312"/>
      <c r="D12" s="355" t="s">
        <v>95</v>
      </c>
      <c r="E12" s="356" t="s">
        <v>76</v>
      </c>
      <c r="F12" s="357" t="s">
        <v>83</v>
      </c>
      <c r="G12" s="357" t="s">
        <v>82</v>
      </c>
      <c r="H12" s="357" t="s">
        <v>84</v>
      </c>
      <c r="I12" s="357" t="s">
        <v>85</v>
      </c>
      <c r="J12" s="358" t="s">
        <v>98</v>
      </c>
      <c r="K12" s="358" t="s">
        <v>96</v>
      </c>
      <c r="L12" s="359" t="s">
        <v>97</v>
      </c>
      <c r="M12" s="214"/>
      <c r="N12" s="204"/>
      <c r="O12" s="159"/>
      <c r="P12" s="159"/>
    </row>
    <row r="13" spans="2:19" s="203" customFormat="1" ht="21" customHeight="1" thickBot="1" x14ac:dyDescent="0.3">
      <c r="B13" s="360">
        <v>1</v>
      </c>
      <c r="C13" s="361">
        <v>2</v>
      </c>
      <c r="D13" s="360">
        <v>3</v>
      </c>
      <c r="E13" s="362">
        <v>4</v>
      </c>
      <c r="F13" s="363">
        <v>5</v>
      </c>
      <c r="G13" s="364">
        <v>6</v>
      </c>
      <c r="H13" s="364">
        <v>7</v>
      </c>
      <c r="I13" s="363">
        <v>8</v>
      </c>
      <c r="J13" s="364">
        <v>9</v>
      </c>
      <c r="K13" s="364">
        <v>10</v>
      </c>
      <c r="L13" s="365">
        <v>11</v>
      </c>
    </row>
    <row r="14" spans="2:19" ht="36" customHeight="1" x14ac:dyDescent="0.25">
      <c r="B14" s="344">
        <v>1</v>
      </c>
      <c r="C14" s="345" t="s">
        <v>78</v>
      </c>
      <c r="D14" s="346">
        <v>163.08187000000001</v>
      </c>
      <c r="E14" s="347">
        <v>38515</v>
      </c>
      <c r="F14" s="366">
        <v>1.1660999999999999</v>
      </c>
      <c r="G14" s="349">
        <v>1.3</v>
      </c>
      <c r="H14" s="349">
        <v>1</v>
      </c>
      <c r="I14" s="369">
        <v>1</v>
      </c>
      <c r="J14" s="352">
        <f>D14*F14*I14*G14*H14</f>
        <v>247.22069918910003</v>
      </c>
      <c r="K14" s="353">
        <f>ROUND(J14*E14,2)</f>
        <v>9521705.2300000004</v>
      </c>
      <c r="L14" s="354">
        <v>116232825.06999999</v>
      </c>
      <c r="M14" s="206"/>
      <c r="N14" s="206"/>
      <c r="O14" s="207"/>
      <c r="Q14" s="207"/>
      <c r="R14" s="207"/>
      <c r="S14" s="208"/>
    </row>
    <row r="15" spans="2:19" ht="41.25" customHeight="1" thickBot="1" x14ac:dyDescent="0.3">
      <c r="B15" s="210">
        <v>2</v>
      </c>
      <c r="C15" s="216" t="s">
        <v>79</v>
      </c>
      <c r="D15" s="228">
        <v>163.08187000000001</v>
      </c>
      <c r="E15" s="226">
        <v>84496</v>
      </c>
      <c r="F15" s="218">
        <v>1.1543000000000001</v>
      </c>
      <c r="G15" s="212">
        <v>1</v>
      </c>
      <c r="H15" s="212">
        <v>1</v>
      </c>
      <c r="I15" s="213">
        <v>1</v>
      </c>
      <c r="J15" s="341">
        <f t="shared" ref="J15" si="0">D15*F15*I15*G15*H15</f>
        <v>188.24540254100003</v>
      </c>
      <c r="K15" s="342">
        <f>ROUND(J15*E15,2)</f>
        <v>15905983.529999999</v>
      </c>
      <c r="L15" s="343">
        <v>188790524.56</v>
      </c>
      <c r="M15" s="206"/>
      <c r="N15" s="206"/>
      <c r="O15" s="207"/>
      <c r="Q15" s="207"/>
      <c r="R15" s="207"/>
      <c r="S15" s="208"/>
    </row>
    <row r="17" spans="4:4" x14ac:dyDescent="0.25">
      <c r="D17" s="200">
        <f>D15/3.514</f>
        <v>46.409183266932274</v>
      </c>
    </row>
  </sheetData>
  <mergeCells count="15">
    <mergeCell ref="L9:L11"/>
    <mergeCell ref="C8:L8"/>
    <mergeCell ref="B9:B12"/>
    <mergeCell ref="C9:C12"/>
    <mergeCell ref="D9:D11"/>
    <mergeCell ref="E9:E11"/>
    <mergeCell ref="F9:I10"/>
    <mergeCell ref="J9:J11"/>
    <mergeCell ref="K9:K11"/>
    <mergeCell ref="C7:L7"/>
    <mergeCell ref="C6:L6"/>
    <mergeCell ref="J1:L1"/>
    <mergeCell ref="J2:L2"/>
    <mergeCell ref="J3:L3"/>
    <mergeCell ref="J4:L4"/>
  </mergeCells>
  <pageMargins left="0.62992125984251968" right="0.15748031496062992" top="0.74803149606299213" bottom="0.39370078740157483" header="0.15748031496062992" footer="0.15748031496062992"/>
  <pageSetup paperSize="9" scale="7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Q14" sqref="Q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17.28515625" style="1" customWidth="1"/>
    <col min="14" max="14" width="19.28515625" style="1" customWidth="1"/>
    <col min="15" max="15" width="17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29" t="s">
        <v>45</v>
      </c>
      <c r="D1" s="329"/>
      <c r="E1" s="329"/>
      <c r="F1" s="329"/>
      <c r="G1" s="329"/>
      <c r="H1" s="329"/>
      <c r="I1" s="329"/>
      <c r="J1" s="115"/>
      <c r="K1" s="115"/>
    </row>
    <row r="2" spans="2:22" ht="22.5" customHeight="1" x14ac:dyDescent="0.3">
      <c r="C2" s="329"/>
      <c r="D2" s="329"/>
      <c r="E2" s="329"/>
      <c r="F2" s="329"/>
      <c r="G2" s="329"/>
      <c r="H2" s="329"/>
      <c r="I2" s="329"/>
      <c r="J2" s="116"/>
      <c r="K2" s="116"/>
    </row>
    <row r="3" spans="2:22" ht="37.5" customHeight="1" x14ac:dyDescent="0.3">
      <c r="C3" s="251"/>
      <c r="D3" s="251"/>
      <c r="E3" s="251"/>
      <c r="F3" s="251"/>
      <c r="G3" s="251"/>
      <c r="H3" s="251"/>
      <c r="I3" s="251"/>
      <c r="J3" s="122"/>
      <c r="K3" s="122"/>
    </row>
    <row r="4" spans="2:22" s="3" customFormat="1" ht="43.9" customHeight="1" x14ac:dyDescent="0.3">
      <c r="B4" s="330" t="s">
        <v>7</v>
      </c>
      <c r="C4" s="330" t="s">
        <v>8</v>
      </c>
      <c r="D4" s="330" t="s">
        <v>9</v>
      </c>
      <c r="E4" s="330" t="s">
        <v>27</v>
      </c>
      <c r="F4" s="330" t="s">
        <v>19</v>
      </c>
      <c r="G4" s="330" t="s">
        <v>21</v>
      </c>
      <c r="H4" s="279" t="s">
        <v>20</v>
      </c>
      <c r="I4" s="279"/>
      <c r="J4" s="52"/>
      <c r="K4" s="52"/>
    </row>
    <row r="5" spans="2:22" s="4" customFormat="1" ht="62.25" customHeight="1" x14ac:dyDescent="0.3">
      <c r="B5" s="331"/>
      <c r="C5" s="331"/>
      <c r="D5" s="331"/>
      <c r="E5" s="331"/>
      <c r="F5" s="331"/>
      <c r="G5" s="331"/>
      <c r="H5" s="279"/>
      <c r="I5" s="279"/>
      <c r="J5" s="52"/>
      <c r="K5" s="52"/>
    </row>
    <row r="6" spans="2:22" s="4" customFormat="1" ht="49.5" customHeight="1" x14ac:dyDescent="0.3">
      <c r="B6" s="332"/>
      <c r="C6" s="332"/>
      <c r="D6" s="332"/>
      <c r="E6" s="332"/>
      <c r="F6" s="332"/>
      <c r="G6" s="332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119">
        <v>1</v>
      </c>
      <c r="C7" s="119">
        <v>2</v>
      </c>
      <c r="D7" s="119"/>
      <c r="E7" s="114">
        <v>3</v>
      </c>
      <c r="F7" s="114">
        <v>4</v>
      </c>
      <c r="G7" s="114">
        <v>5</v>
      </c>
      <c r="H7" s="114">
        <v>6</v>
      </c>
      <c r="I7" s="114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f>'Коэф плотности населения'!D9</f>
        <v>0</v>
      </c>
      <c r="F8" s="38" t="e">
        <f>#REF!</f>
        <v>#REF!</v>
      </c>
      <c r="G8" s="111" t="e">
        <f t="shared" ref="G8:G19" si="0">F8/E8</f>
        <v>#REF!</v>
      </c>
      <c r="H8" s="333" t="e">
        <f>K10/L10</f>
        <v>#REF!</v>
      </c>
      <c r="I8" s="333" t="e">
        <f>ROUND(H8*2.9,2)</f>
        <v>#REF!</v>
      </c>
      <c r="J8" s="54" t="e">
        <f>G8*E8</f>
        <v>#REF!</v>
      </c>
      <c r="K8" s="54"/>
      <c r="L8" s="61"/>
      <c r="M8" s="54" t="e">
        <f>E8*$H$8</f>
        <v>#REF!</v>
      </c>
      <c r="N8" s="54" t="e">
        <f>M8-F8</f>
        <v>#REF!</v>
      </c>
      <c r="O8" s="54">
        <v>-1549861.6712386534</v>
      </c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24</v>
      </c>
      <c r="D9" s="9"/>
      <c r="E9" s="49">
        <f>'Коэф плотности населения'!D10</f>
        <v>0</v>
      </c>
      <c r="F9" s="38" t="e">
        <f>#REF!</f>
        <v>#REF!</v>
      </c>
      <c r="G9" s="111" t="e">
        <f t="shared" si="0"/>
        <v>#REF!</v>
      </c>
      <c r="H9" s="334"/>
      <c r="I9" s="334"/>
      <c r="J9" s="54" t="e">
        <f t="shared" ref="J9:J12" si="1">G9*E9</f>
        <v>#REF!</v>
      </c>
      <c r="K9" s="54"/>
      <c r="L9" s="61"/>
      <c r="M9" s="54" t="e">
        <f t="shared" ref="M9:M10" si="2">E9*$H$8</f>
        <v>#REF!</v>
      </c>
      <c r="N9" s="54" t="e">
        <f t="shared" ref="N9:N19" si="3">M9-F9</f>
        <v>#REF!</v>
      </c>
      <c r="O9" s="54">
        <v>-68940.685691401362</v>
      </c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25</v>
      </c>
      <c r="D10" s="9"/>
      <c r="E10" s="49">
        <f>'Коэф плотности населения'!D11</f>
        <v>0</v>
      </c>
      <c r="F10" s="38" t="e">
        <f>#REF!</f>
        <v>#REF!</v>
      </c>
      <c r="G10" s="111" t="e">
        <f t="shared" si="0"/>
        <v>#REF!</v>
      </c>
      <c r="H10" s="335"/>
      <c r="I10" s="335"/>
      <c r="J10" s="54" t="e">
        <f t="shared" si="1"/>
        <v>#REF!</v>
      </c>
      <c r="K10" s="54" t="e">
        <f>SUM(J8:J10)</f>
        <v>#REF!</v>
      </c>
      <c r="L10" s="132">
        <f>SUM(E8:E10)</f>
        <v>0</v>
      </c>
      <c r="M10" s="54" t="e">
        <f t="shared" si="2"/>
        <v>#REF!</v>
      </c>
      <c r="N10" s="54" t="e">
        <f t="shared" si="3"/>
        <v>#REF!</v>
      </c>
      <c r="O10" s="54">
        <v>-1288891.3587453254</v>
      </c>
      <c r="P10" s="60"/>
      <c r="Q10" s="39"/>
      <c r="R10" s="39"/>
      <c r="S10" s="39"/>
      <c r="T10" s="39"/>
      <c r="V10" s="60"/>
    </row>
    <row r="11" spans="2:22" ht="43.9" customHeight="1" x14ac:dyDescent="0.3">
      <c r="B11" s="119"/>
      <c r="C11" s="9" t="s">
        <v>26</v>
      </c>
      <c r="D11" s="9"/>
      <c r="E11" s="49">
        <f>'Коэф плотности населения'!D12</f>
        <v>0</v>
      </c>
      <c r="F11" s="38" t="e">
        <f>#REF!</f>
        <v>#REF!</v>
      </c>
      <c r="G11" s="111" t="e">
        <f>F11/E11</f>
        <v>#REF!</v>
      </c>
      <c r="H11" s="336" t="e">
        <f>K12/L12</f>
        <v>#REF!</v>
      </c>
      <c r="I11" s="336"/>
      <c r="J11" s="54" t="e">
        <f t="shared" si="1"/>
        <v>#REF!</v>
      </c>
      <c r="K11" s="54"/>
      <c r="L11" s="61"/>
      <c r="M11" s="54" t="e">
        <f>E11*$H$11</f>
        <v>#REF!</v>
      </c>
      <c r="N11" s="54" t="e">
        <f t="shared" si="3"/>
        <v>#REF!</v>
      </c>
      <c r="O11" s="54">
        <v>2270037.0865723444</v>
      </c>
      <c r="P11" s="60"/>
      <c r="Q11" s="39"/>
      <c r="R11" s="39"/>
      <c r="S11" s="39"/>
      <c r="T11" s="39"/>
      <c r="V11" s="60"/>
    </row>
    <row r="12" spans="2:22" ht="33.75" customHeight="1" x14ac:dyDescent="0.3">
      <c r="B12" s="119"/>
      <c r="C12" s="9" t="s">
        <v>2</v>
      </c>
      <c r="D12" s="9">
        <v>20230</v>
      </c>
      <c r="E12" s="49">
        <f>'Коэф плотности населения'!D18</f>
        <v>0</v>
      </c>
      <c r="F12" s="38" t="e">
        <f>#REF!</f>
        <v>#REF!</v>
      </c>
      <c r="G12" s="111" t="e">
        <f>F12/E12</f>
        <v>#REF!</v>
      </c>
      <c r="H12" s="336"/>
      <c r="I12" s="336"/>
      <c r="J12" s="54" t="e">
        <f t="shared" si="1"/>
        <v>#REF!</v>
      </c>
      <c r="K12" s="54" t="e">
        <f>J12+J11</f>
        <v>#REF!</v>
      </c>
      <c r="L12" s="132">
        <f>E11+E12</f>
        <v>0</v>
      </c>
      <c r="M12" s="54" t="e">
        <f>E12*$H$11</f>
        <v>#REF!</v>
      </c>
      <c r="N12" s="54" t="e">
        <f t="shared" si="3"/>
        <v>#REF!</v>
      </c>
      <c r="O12" s="54">
        <v>637656.62910304405</v>
      </c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22</v>
      </c>
      <c r="D13" s="119"/>
      <c r="E13" s="114">
        <f>'Коэф плотности населения'!D8</f>
        <v>0</v>
      </c>
      <c r="F13" s="38" t="e">
        <f>#REF!</f>
        <v>#REF!</v>
      </c>
      <c r="G13" s="111" t="e">
        <f>F13/E13</f>
        <v>#REF!</v>
      </c>
      <c r="H13" s="336" t="e">
        <f>K16/L16</f>
        <v>#REF!</v>
      </c>
      <c r="I13" s="333" t="e">
        <f>ROUND(H13*2.9,2)</f>
        <v>#REF!</v>
      </c>
      <c r="J13" s="54" t="e">
        <f>G13*E13</f>
        <v>#REF!</v>
      </c>
      <c r="K13" s="54"/>
      <c r="L13" s="61"/>
      <c r="M13" s="54" t="e">
        <f>E13*$H$13</f>
        <v>#REF!</v>
      </c>
      <c r="N13" s="54" t="e">
        <f t="shared" si="3"/>
        <v>#REF!</v>
      </c>
      <c r="O13" s="54">
        <v>6108091.3356327191</v>
      </c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</v>
      </c>
      <c r="D14" s="9">
        <v>7000</v>
      </c>
      <c r="E14" s="49">
        <f>'Коэф плотности населения'!D13</f>
        <v>0</v>
      </c>
      <c r="F14" s="38" t="e">
        <f>#REF!</f>
        <v>#REF!</v>
      </c>
      <c r="G14" s="111" t="e">
        <f>F14/E14</f>
        <v>#REF!</v>
      </c>
      <c r="H14" s="336"/>
      <c r="I14" s="334"/>
      <c r="J14" s="54" t="e">
        <f t="shared" ref="J14:J19" si="4">G14*E14</f>
        <v>#REF!</v>
      </c>
      <c r="K14" s="54"/>
      <c r="L14" s="61"/>
      <c r="M14" s="54" t="e">
        <f>E14*$H$13</f>
        <v>#REF!</v>
      </c>
      <c r="N14" s="54" t="e">
        <f t="shared" si="3"/>
        <v>#REF!</v>
      </c>
      <c r="O14" s="54">
        <v>194059.70955812186</v>
      </c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#REF!</f>
        <v>#REF!</v>
      </c>
      <c r="G15" s="111" t="e">
        <f>F15/E15</f>
        <v>#REF!</v>
      </c>
      <c r="H15" s="336"/>
      <c r="I15" s="334"/>
      <c r="J15" s="54" t="e">
        <f t="shared" si="4"/>
        <v>#REF!</v>
      </c>
      <c r="K15" s="54"/>
      <c r="L15" s="132"/>
      <c r="M15" s="54" t="e">
        <f>E15*$H$13</f>
        <v>#REF!</v>
      </c>
      <c r="N15" s="54" t="e">
        <f t="shared" si="3"/>
        <v>#REF!</v>
      </c>
      <c r="O15" s="54">
        <v>-257213.76103419811</v>
      </c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3</v>
      </c>
      <c r="D16" s="9">
        <v>9000</v>
      </c>
      <c r="E16" s="49">
        <f>'Коэф плотности населения'!D19</f>
        <v>0</v>
      </c>
      <c r="F16" s="38" t="e">
        <f>#REF!</f>
        <v>#REF!</v>
      </c>
      <c r="G16" s="111" t="e">
        <f t="shared" si="0"/>
        <v>#REF!</v>
      </c>
      <c r="H16" s="336"/>
      <c r="I16" s="335"/>
      <c r="J16" s="54" t="e">
        <f t="shared" si="4"/>
        <v>#REF!</v>
      </c>
      <c r="K16" s="54" t="e">
        <f>SUM(J13:J16)</f>
        <v>#REF!</v>
      </c>
      <c r="L16" s="54">
        <f>SUM(E13:E16)</f>
        <v>0</v>
      </c>
      <c r="M16" s="54" t="e">
        <f>E16*$H$13</f>
        <v>#REF!</v>
      </c>
      <c r="N16" s="54" t="e">
        <f t="shared" si="3"/>
        <v>#REF!</v>
      </c>
      <c r="O16" s="54">
        <v>-910502.60344523843</v>
      </c>
      <c r="P16" s="60"/>
      <c r="Q16" s="39"/>
      <c r="R16" s="39"/>
      <c r="S16" s="39"/>
      <c r="T16" s="39"/>
      <c r="V16" s="60"/>
    </row>
    <row r="17" spans="1:22" ht="32.25" customHeight="1" x14ac:dyDescent="0.3">
      <c r="B17" s="119"/>
      <c r="C17" s="9" t="s">
        <v>4</v>
      </c>
      <c r="D17" s="9">
        <v>13300</v>
      </c>
      <c r="E17" s="49">
        <f>'Коэф плотности населения'!D15</f>
        <v>0</v>
      </c>
      <c r="F17" s="38" t="e">
        <f>#REF!</f>
        <v>#REF!</v>
      </c>
      <c r="G17" s="111" t="e">
        <f>F17/E17</f>
        <v>#REF!</v>
      </c>
      <c r="H17" s="333" t="e">
        <f>K19/L19</f>
        <v>#REF!</v>
      </c>
      <c r="I17" s="333" t="e">
        <f>ROUND(H17*2.9,2)</f>
        <v>#REF!</v>
      </c>
      <c r="J17" s="54" t="e">
        <f>G17*E17</f>
        <v>#REF!</v>
      </c>
      <c r="K17" s="54"/>
      <c r="L17" s="61"/>
      <c r="M17" s="54" t="e">
        <f>E17*$H$17</f>
        <v>#REF!</v>
      </c>
      <c r="N17" s="54" t="e">
        <f>M17-F17</f>
        <v>#REF!</v>
      </c>
      <c r="O17" s="54">
        <v>-976490.97865300253</v>
      </c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f>'Коэф плотности населения'!D14</f>
        <v>0</v>
      </c>
      <c r="F18" s="38" t="e">
        <f>#REF!</f>
        <v>#REF!</v>
      </c>
      <c r="G18" s="111" t="e">
        <f t="shared" si="0"/>
        <v>#REF!</v>
      </c>
      <c r="H18" s="334"/>
      <c r="I18" s="334"/>
      <c r="J18" s="54" t="e">
        <f t="shared" si="4"/>
        <v>#REF!</v>
      </c>
      <c r="K18" s="54"/>
      <c r="L18" s="61"/>
      <c r="M18" s="54" t="e">
        <f t="shared" ref="M18:M19" si="5">E18*$H$17</f>
        <v>#REF!</v>
      </c>
      <c r="N18" s="54" t="e">
        <f t="shared" si="3"/>
        <v>#REF!</v>
      </c>
      <c r="O18" s="54">
        <v>-2411700.7547968309</v>
      </c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19"/>
      <c r="C19" s="9" t="s">
        <v>5</v>
      </c>
      <c r="D19" s="9">
        <v>6000</v>
      </c>
      <c r="E19" s="49">
        <f>'Коэф плотности населения'!D17</f>
        <v>0</v>
      </c>
      <c r="F19" s="38" t="e">
        <f>#REF!</f>
        <v>#REF!</v>
      </c>
      <c r="G19" s="111" t="e">
        <f t="shared" si="0"/>
        <v>#REF!</v>
      </c>
      <c r="H19" s="335"/>
      <c r="I19" s="334"/>
      <c r="J19" s="54" t="e">
        <f t="shared" si="4"/>
        <v>#REF!</v>
      </c>
      <c r="K19" s="54" t="e">
        <f>SUM(J17:J19)</f>
        <v>#REF!</v>
      </c>
      <c r="L19" s="132">
        <f>SUM(E17:E19)</f>
        <v>0</v>
      </c>
      <c r="M19" s="54" t="e">
        <f t="shared" si="5"/>
        <v>#REF!</v>
      </c>
      <c r="N19" s="54" t="e">
        <f t="shared" si="3"/>
        <v>#REF!</v>
      </c>
      <c r="O19" s="54">
        <v>-1746242.9472615626</v>
      </c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0</v>
      </c>
      <c r="F20" s="19" t="e">
        <f>SUM(F8:F19)</f>
        <v>#REF!</v>
      </c>
      <c r="G20" s="13"/>
      <c r="H20" s="13"/>
      <c r="I20" s="124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/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H17:H19"/>
    <mergeCell ref="I17:I19"/>
    <mergeCell ref="H11:H12"/>
    <mergeCell ref="I11:I12"/>
    <mergeCell ref="H8:H10"/>
    <mergeCell ref="I8:I10"/>
    <mergeCell ref="H13:H16"/>
    <mergeCell ref="I13:I16"/>
    <mergeCell ref="C1:I3"/>
    <mergeCell ref="B4:B6"/>
    <mergeCell ref="C4:C6"/>
    <mergeCell ref="D4:D6"/>
    <mergeCell ref="E4:E6"/>
    <mergeCell ref="F4:F6"/>
    <mergeCell ref="G4:G6"/>
    <mergeCell ref="H4:I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23</vt:i4>
      </vt:variant>
    </vt:vector>
  </HeadingPairs>
  <TitlesOfParts>
    <vt:vector size="35" baseType="lpstr">
      <vt:lpstr>Коэф плотности населения</vt:lpstr>
      <vt:lpstr>АМП 2018 (+ санкции)</vt:lpstr>
      <vt:lpstr>АМП 2018 (ДШО +роддом 991,43)</vt:lpstr>
      <vt:lpstr>АМП 2018 (ДШО в подушевой)</vt:lpstr>
      <vt:lpstr>АМП 2017 (терапевты)  (без пло)</vt:lpstr>
      <vt:lpstr>1. АМП_без Акуш и Стомат</vt:lpstr>
      <vt:lpstr>2. АМП_Акушерств</vt:lpstr>
      <vt:lpstr>3. АМП_Стоматология</vt:lpstr>
      <vt:lpstr>тарифы (с плот.) (2)</vt:lpstr>
      <vt:lpstr>тарифы (с плот.)</vt:lpstr>
      <vt:lpstr>тарифы (без плотн) (2)</vt:lpstr>
      <vt:lpstr>тарифы (без плотн)</vt:lpstr>
      <vt:lpstr>'1. АМП_без Акуш и Стомат'!Заголовки_для_печати</vt:lpstr>
      <vt:lpstr>'2. АМП_Акушерств'!Заголовки_для_печати</vt:lpstr>
      <vt:lpstr>'3. АМП_Стоматология'!Заголовки_для_печати</vt:lpstr>
      <vt:lpstr>'АМП 2017 (терапевты)  (без пло)'!Заголовки_для_печати</vt:lpstr>
      <vt:lpstr>'АМП 2018 (+ санкции)'!Заголовки_для_печати</vt:lpstr>
      <vt:lpstr>'АМП 2018 (ДШО +роддом 991,43)'!Заголовки_для_печати</vt:lpstr>
      <vt:lpstr>'АМП 2018 (ДШО в подушевой)'!Заголовки_для_печати</vt:lpstr>
      <vt:lpstr>'тарифы (без плотн)'!Заголовки_для_печати</vt:lpstr>
      <vt:lpstr>'тарифы (без плотн) (2)'!Заголовки_для_печати</vt:lpstr>
      <vt:lpstr>'тарифы (с плот.)'!Заголовки_для_печати</vt:lpstr>
      <vt:lpstr>'тарифы (с плот.) (2)'!Заголовки_для_печати</vt:lpstr>
      <vt:lpstr>'1. АМП_без Акуш и Стомат'!Область_печати</vt:lpstr>
      <vt:lpstr>'2. АМП_Акушерств'!Область_печати</vt:lpstr>
      <vt:lpstr>'3. АМП_Стоматология'!Область_печати</vt:lpstr>
      <vt:lpstr>'АМП 2017 (терапевты)  (без пло)'!Область_печати</vt:lpstr>
      <vt:lpstr>'АМП 2018 (+ санкции)'!Область_печати</vt:lpstr>
      <vt:lpstr>'АМП 2018 (ДШО +роддом 991,43)'!Область_печати</vt:lpstr>
      <vt:lpstr>'АМП 2018 (ДШО в подушевой)'!Область_печати</vt:lpstr>
      <vt:lpstr>'Коэф плотности населения'!Область_печати</vt:lpstr>
      <vt:lpstr>'тарифы (без плотн)'!Область_печати</vt:lpstr>
      <vt:lpstr>'тарифы (без плотн) (2)'!Область_печати</vt:lpstr>
      <vt:lpstr>'тарифы (с плот.)'!Область_печати</vt:lpstr>
      <vt:lpstr>'тарифы (с плот.) (2)'!Область_печати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2024-02-19T07:12:07Z</cp:lastPrinted>
  <dcterms:created xsi:type="dcterms:W3CDTF">2015-02-06T05:02:21Z</dcterms:created>
  <dcterms:modified xsi:type="dcterms:W3CDTF">2024-02-19T07:12:16Z</dcterms:modified>
</cp:coreProperties>
</file>