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1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" sheetId="9" r:id="rId9"/>
    <sheet name="10. объём доп. фед. средств" sheetId="10" state="hidden" r:id="rId10"/>
  </sheets>
  <definedNames>
    <definedName name="_xlnm._FilterDatabase" localSheetId="5" hidden="1">'3. ДС'!$A$8:$Q$155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АМП'!$A$1:$F$406</definedName>
    <definedName name="_xlnm.Print_Area" localSheetId="1">'1.1. ПРОФ.МЕРОПРИЯТИЯ'!$A$1:$I$23</definedName>
    <definedName name="_xlnm.Print_Area" localSheetId="3">'1.3. ИССЛЕДОВАНИЯ'!$A$1:$M$72</definedName>
    <definedName name="_xlnm.Print_Area" localSheetId="4">'2. КС'!$A$1:$D$202</definedName>
    <definedName name="_xlnm.Print_Area" localSheetId="5">'3. ДС'!$A$1:$F$147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фин.обеспечения'!$A$1:$E$31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14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0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1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<sst xmlns="http://schemas.openxmlformats.org/spreadsheetml/2006/main" count="834" uniqueCount="524">
  <si>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</si>
  <si>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</si>
  <si>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</si>
  <si>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</si>
  <si>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</si>
  <si>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</si>
  <si>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</si>
  <si>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</si>
  <si>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</si>
  <si>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</si>
  <si>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</si>
  <si>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</si>
  <si>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</si>
  <si>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</si>
  <si>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</si>
  <si>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</si>
  <si>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</si>
  <si>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</si>
  <si>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</si>
  <si>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</si>
  <si>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</si>
  <si>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</si>
  <si>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</si>
  <si>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</si>
  <si>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</si>
  <si>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</si>
  <si>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</si>
  <si>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</si>
  <si>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</si>
  <si>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</si>
  <si>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</si>
  <si>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</si>
  <si>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</si>
  <si>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</si>
  <si>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</si>
  <si>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</si>
  <si>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</si>
  <si>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</si>
  <si>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</si>
  <si>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</si>
  <si>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</si>
  <si>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</si>
  <si>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</si>
  <si>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</si>
  <si>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</si>
  <si>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</si>
  <si>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</si>
  <si>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</si>
  <si>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</si>
  <si>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</si>
  <si>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</si>
  <si>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</si>
  <si>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</si>
  <si>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</si>
  <si>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</si>
  <si>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</si>
  <si>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</si>
  <si>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</si>
  <si>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</si>
  <si>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</si>
  <si>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</si>
  <si>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</si>
  <si>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</si>
  <si>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</si>
  <si>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</si>
  <si>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</si>
  <si>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</si>
  <si>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</si>
  <si>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</si>
  <si>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</si>
  <si>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</si>
  <si>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</si>
  <si>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</si>
  <si>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</si>
  <si>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</si>
  <si>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</si>
  <si>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</si>
  <si>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</si>
  <si>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</si>
  <si>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</si>
  <si>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</si>
  <si>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</si>
  <si>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</si>
  <si>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</si>
  <si>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</si>
  <si>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</si>
  <si>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</si>
  <si>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</si>
  <si>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</si>
  <si>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</si>
  <si>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</si>
  <si>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</si>
  <si>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</si>
  <si>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</si>
  <si>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</si>
  <si>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</si>
  <si>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</si>
  <si>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</si>
  <si>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</si>
  <si>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</si>
  <si>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</si>
  <si>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</si>
  <si>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</si>
  <si>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</si>
  <si>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</si>
  <si>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</si>
  <si>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</si>
  <si>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</si>
  <si>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</si>
  <si>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</si>
  <si>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</si>
  <si>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</si>
  <si>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</si>
  <si>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</si>
  <si>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</si>
  <si>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</si>
  <si>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</si>
  <si>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</si>
  <si>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</si>
  <si>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</si>
  <si>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</si>
  <si>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</si>
  <si>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</si>
  <si>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</si>
  <si>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</si>
  <si>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</si>
  <si>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</si>
  <si>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</si>
  <si>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</si>
  <si>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</si>
  <si>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</si>
  <si>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</si>
  <si>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</si>
  <si>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</si>
  <si>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</si>
  <si>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</si>
  <si>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</si>
  <si>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</si>
  <si>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</si>
  <si>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</si>
  <si>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</si>
  <si>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</si>
  <si>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</si>
  <si>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</si>
  <si>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</si>
  <si>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</si>
  <si>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</si>
  <si>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</si>
  <si>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</si>
  <si>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</si>
  <si>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</si>
  <si>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</si>
  <si>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</si>
  <si>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</si>
  <si>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</si>
  <si>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</si>
  <si>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</si>
  <si>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</si>
  <si>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</si>
  <si>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</si>
  <si>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</si>
  <si>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</si>
  <si>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</si>
  <si>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</si>
  <si>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</si>
  <si>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</si>
  <si>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</si>
  <si>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</si>
  <si>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</si>
  <si>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</si>
  <si>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</si>
  <si>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</si>
  <si>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</si>
  <si>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</si>
  <si>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</si>
  <si>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</si>
  <si>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</si>
  <si>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</si>
  <si>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</si>
  <si>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</si>
  <si>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</si>
  <si>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</si>
  <si>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</si>
  <si>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</si>
  <si>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</si>
  <si>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</si>
  <si>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</si>
  <si>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</si>
  <si>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</si>
  <si>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</si>
  <si>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</si>
  <si>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</si>
  <si>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</si>
  <si>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</si>
  <si>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</si>
  <si>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</si>
  <si>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</si>
  <si>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</si>
  <si>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</si>
  <si>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</si>
  <si>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</si>
  <si>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</si>
  <si>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</si>
  <si>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</si>
  <si>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</si>
  <si>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</si>
  <si>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</si>
  <si>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</si>
  <si>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</si>
  <si>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</si>
  <si>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</si>
  <si>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</si>
  <si>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</si>
  <si>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</si>
  <si>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</si>
  <si>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</si>
  <si>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</si>
  <si>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</si>
  <si>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</si>
  <si>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</si>
  <si>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</si>
  <si>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</si>
  <si>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</si>
  <si>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</si>
  <si>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</si>
  <si>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</si>
  <si>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</si>
  <si>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</si>
  <si>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</si>
  <si>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</si>
  <si>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</si>
  <si>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</si>
  <si>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</si>
  <si>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</si>
  <si>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</si>
  <si>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</si>
  <si>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</si>
  <si>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</si>
  <si>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</si>
  <si>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</si>
  <si>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</si>
  <si>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</si>
  <si>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</si>
  <si>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</si>
  <si>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</si>
  <si>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</si>
  <si>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</si>
  <si>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</si>
  <si>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</si>
  <si>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</si>
  <si>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</si>
  <si>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</si>
  <si>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</si>
  <si>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</si>
  <si>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</si>
  <si>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</si>
  <si>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</si>
  <si>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</si>
  <si>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</si>
  <si>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</si>
  <si>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</si>
  <si>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</si>
  <si>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</si>
  <si>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</si>
  <si>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</si>
  <si>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</si>
  <si>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</si>
  <si>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</si>
  <si>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</si>
  <si>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</si>
  <si>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</si>
  <si>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</si>
  <si>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</si>
  <si>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</si>
  <si>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</si>
  <si>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</si>
  <si>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</si>
  <si>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</si>
  <si>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</si>
  <si>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</si>
  <si>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</si>
  <si>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</si>
  <si>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</si>
  <si>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</si>
  <si>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</si>
  <si>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</si>
  <si>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</si>
  <si>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</si>
  <si>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</si>
  <si>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</si>
  <si>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</si>
  <si>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</si>
  <si>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</si>
  <si>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</si>
  <si>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</si>
  <si>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</si>
  <si>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</si>
  <si>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</si>
  <si>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</si>
  <si>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</si>
  <si>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</si>
  <si>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</si>
  <si>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</si>
  <si>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</si>
  <si>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</si>
  <si>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</si>
  <si>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</si>
  <si>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</si>
  <si>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</si>
  <si>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</si>
  <si>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</si>
  <si>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</si>
  <si>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</si>
  <si>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</si>
  <si>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</si>
  <si>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</si>
  <si>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</si>
  <si>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</si>
  <si>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</si>
  <si>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</si>
  <si>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</si>
  <si>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</si>
  <si>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</si>
  <si>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</si>
  <si>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</si>
  <si>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</si>
  <si>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</si>
  <si>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</si>
  <si>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</si>
  <si>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</si>
  <si>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</si>
  <si>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</si>
  <si>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</si>
  <si>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</si>
  <si>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</si>
  <si>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</si>
  <si>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</si>
  <si>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</si>
  <si>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</si>
  <si>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</si>
  <si>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</si>
  <si>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</si>
  <si>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</si>
  <si>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</si>
  <si>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</si>
  <si>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</si>
  <si>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</si>
  <si>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</si>
  <si>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</si>
  <si>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</si>
  <si>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</si>
  <si>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</si>
  <si>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</si>
  <si>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</si>
  <si>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</si>
  <si>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</si>
  <si>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</si>
  <si>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</si>
  <si>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</si>
  <si>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</si>
  <si>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</si>
  <si>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</si>
  <si>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</si>
  <si>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</si>
  <si>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</si>
  <si>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</si>
  <si>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</si>
  <si>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</si>
  <si>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</si>
  <si>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</si>
  <si>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</si>
  <si>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</si>
  <si>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</si>
  <si>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</si>
  <si>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</si>
  <si>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</si>
  <si>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</si>
  <si>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</si>
  <si>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</si>
  <si>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</si>
  <si>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</si>
  <si>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</si>
  <si>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</si>
  <si>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</si>
  <si>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</si>
  <si>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</si>
  <si>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</si>
  <si>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</si>
  <si>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</si>
  <si>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</si>
  <si>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</si>
  <si>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</si>
  <si>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</si>
  <si>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</si>
  <si>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</si>
  <si>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</si>
  <si>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</si>
  <si>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</si>
  <si>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</si>
  <si>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</si>
  <si>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</si>
  <si>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</si>
  <si>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</si>
  <si>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</si>
  <si>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</si>
  <si>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</si>
  <si>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</si>
  <si>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</si>
  <si>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</si>
  <si>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</si>
  <si>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</si>
  <si>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</si>
  <si>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</si>
  <si>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</si>
  <si>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</si>
  <si>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</si>
  <si>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</si>
  <si>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</si>
  <si>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</si>
  <si>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</si>
  <si>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</si>
  <si>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</si>
  <si>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</si>
  <si>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</si>
  <si>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</si>
  <si>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</si>
  <si>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</si>
  <si>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</si>
  <si>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</si>
  <si>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</si>
  <si>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</si>
  <si>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</si>
  <si>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</si>
  <si>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</si>
  <si>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</si>
  <si>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</si>
  <si>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</si>
  <si>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</si>
  <si>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</si>
  <si>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</si>
  <si>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</si>
  <si>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</si>
  <si>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</si>
  <si>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</si>
  <si>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</si>
  <si>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</si>
  <si>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</si>
  <si>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</si>
  <si>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</si>
  <si>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</si>
  <si>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</si>
  <si>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</si>
  <si>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</si>
  <si>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</si>
  <si>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</si>
  <si>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</si>
  <si>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</si>
  <si>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</si>
  <si>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</si>
  <si>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</si>
  <si>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</si>
  <si>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</si>
  <si>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</si>
  <si>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</si>
  <si>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</si>
  <si>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</si>
  <si>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</si>
  <si>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</si>
  <si>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</si>
  <si>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</si>
  <si>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</si>
  <si>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</si>
  <si>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</si>
  <si>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</si>
  <si>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</si>
  <si>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</si>
  <si>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</si>
  <si>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</si>
  <si>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</si>
  <si>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</si>
  <si>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</si>
  <si>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</si>
  <si>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</si>
  <si>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</si>
  <si>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ИТОГО ГБУЗ "МОДБ"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</si>
  <si>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</si>
  <si>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</si>
  <si>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</si>
  <si>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</si>
  <si>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</si>
  <si>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</si>
  <si>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</si>
  <si>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</si>
  <si>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 xml:space="preserve">       в том числе, медицинская помощь в мобильном стоматологическом кабинете</t>
  </si>
  <si>
    <t xml:space="preserve">       в том числе, медицинская помощь специалистами мобильной бригады</t>
  </si>
  <si>
    <t xml:space="preserve">      в том числе, медицинская помощь в мобильном стоматологическом кабинете</t>
  </si>
  <si>
    <t>2) мобильные медицинские бригады</t>
  </si>
  <si>
    <t>Средний медицинский персонал, ведущий самостоятельный прием</t>
  </si>
  <si>
    <t>ФЗП</t>
  </si>
  <si>
    <t>ИТОГО ГБУЗ "МОЦОМиД"</t>
  </si>
  <si>
    <t>3. ГБУЗ "МАГАДАНСКИЙ ОБЛАСТНОЙ ЦЕНТР ОХРАНЫ МАТЕРИНСТВА И ДЕТСТВА"</t>
  </si>
  <si>
    <t>2. ГБУЗ "МАГАДАНСКАЯ ОБЛАСТНАЯ ДЕТСКАЯ  БОЛЬНИЦА" с 01.01.2023 по 06.07.2023 года</t>
  </si>
  <si>
    <t>3. ГБУЗ "Магаданский областной центр охраны материнства и детства"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</si>
  <si>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</si>
  <si>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</si>
  <si>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</si>
  <si>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</si>
  <si>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</si>
  <si>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2. ГБУЗ "Магаданская областная детская больница"  с 01.01.2023 по 06.07.2023 года</t>
  </si>
  <si>
    <t>ГБУЗ "Магаданская областная детская больница" c 01.01.2023 по 06.07.2023 года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</si>
  <si>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</si>
  <si>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</si>
  <si>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ООО "ЕВА КЛИНИК"</t>
  </si>
  <si>
    <t>23</t>
  </si>
  <si>
    <t>5</t>
  </si>
  <si>
    <t>ГБУЗ "Магаданский областной диспансер фтизиатрии и инфекционных заболеваний"</t>
  </si>
  <si>
    <t>Отоларинголог (для оказания медицинской помощи детскому населению)</t>
  </si>
  <si>
    <t>Офтольмология (для оказания медицинской помощи детскому населению)</t>
  </si>
  <si>
    <t>14.  ООО "ЕВА КЛИНИК"</t>
  </si>
  <si>
    <t>15.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</si>
  <si>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9.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</si>
  <si>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8. ООО "ЕВА КЛИНИК"</t>
  </si>
  <si>
    <t>ТПОМС от 13.09.2023 года № 11-01</t>
  </si>
  <si>
    <t>3) Школа сахарного диабета (комплексные посещения)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</si>
</sst>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8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0"/>
      <color indexed="60"/>
      <name val="Times New Roman"/>
      <family val="1"/>
    </font>
    <font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sz val="9"/>
      <color indexed="60"/>
      <name val="Times New Roman"/>
      <family val="1"/>
    </font>
    <font>
      <i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2"/>
      <color rgb="FF0000FF"/>
      <name val="Arial"/>
      <family val="2"/>
    </font>
    <font>
      <sz val="10"/>
      <color rgb="FFC0000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9"/>
      <color rgb="FFC00000"/>
      <name val="Times New Roman"/>
      <family val="1"/>
    </font>
    <font>
      <i/>
      <sz val="12"/>
      <color rgb="FFC00000"/>
      <name val="Times New Roman"/>
      <family val="1"/>
    </font>
    <font>
      <sz val="12"/>
      <color rgb="FFFF0000"/>
      <name val="Times New Roman"/>
      <family val="1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3" borderId="0" applyNumberFormat="0" applyBorder="0" applyAlignment="0" applyProtection="0"/>
    <xf numFmtId="0" fontId="119" fillId="3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3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47" fillId="11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47" fillId="11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0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5" borderId="0" applyNumberFormat="0" applyBorder="0" applyAlignment="0" applyProtection="0"/>
    <xf numFmtId="0" fontId="119" fillId="5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5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47" fillId="9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47" fillId="9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6" borderId="0" applyNumberFormat="0" applyBorder="0" applyAlignment="0" applyProtection="0"/>
    <xf numFmtId="0" fontId="119" fillId="6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6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47" fillId="14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47" fillId="14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3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7" borderId="0" applyNumberFormat="0" applyBorder="0" applyAlignment="0" applyProtection="0"/>
    <xf numFmtId="0" fontId="119" fillId="7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7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47" fillId="11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47" fillId="11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5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47" fillId="8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47" fillId="8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6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47" fillId="9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47" fillId="9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1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47" fillId="22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47" fillId="22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4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47" fillId="20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47" fillId="20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5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1" borderId="0" applyNumberFormat="0" applyBorder="0" applyAlignment="0" applyProtection="0"/>
    <xf numFmtId="0" fontId="119" fillId="21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1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47" fillId="27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47" fillId="27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6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47" fillId="22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47" fillId="22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8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47" fillId="1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47" fillId="1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29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47" fillId="9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47" fillId="9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119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0" fillId="35" borderId="0" applyNumberFormat="0" applyBorder="0" applyAlignment="0" applyProtection="0"/>
    <xf numFmtId="0" fontId="120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0" fillId="36" borderId="0" applyNumberFormat="0" applyBorder="0" applyAlignment="0" applyProtection="0"/>
    <xf numFmtId="0" fontId="120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0" fillId="37" borderId="0" applyNumberFormat="0" applyBorder="0" applyAlignment="0" applyProtection="0"/>
    <xf numFmtId="0" fontId="120" fillId="37" borderId="0" applyNumberFormat="0" applyBorder="0" applyAlignment="0" applyProtection="0"/>
    <xf numFmtId="0" fontId="120" fillId="37" borderId="0" applyNumberFormat="0" applyBorder="0" applyAlignment="0" applyProtection="0"/>
    <xf numFmtId="0" fontId="120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0" fillId="38" borderId="0" applyNumberFormat="0" applyBorder="0" applyAlignment="0" applyProtection="0"/>
    <xf numFmtId="0" fontId="120" fillId="38" borderId="0" applyNumberFormat="0" applyBorder="0" applyAlignment="0" applyProtection="0"/>
    <xf numFmtId="0" fontId="120" fillId="38" borderId="0" applyNumberFormat="0" applyBorder="0" applyAlignment="0" applyProtection="0"/>
    <xf numFmtId="0" fontId="120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0" fillId="39" borderId="0" applyNumberFormat="0" applyBorder="0" applyAlignment="0" applyProtection="0"/>
    <xf numFmtId="0" fontId="120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20" fillId="40" borderId="0" applyNumberFormat="0" applyBorder="0" applyAlignment="0" applyProtection="0"/>
    <xf numFmtId="0" fontId="120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0" fillId="46" borderId="0" applyNumberFormat="0" applyBorder="0" applyAlignment="0" applyProtection="0"/>
    <xf numFmtId="0" fontId="120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0" fillId="47" borderId="0" applyNumberFormat="0" applyBorder="0" applyAlignment="0" applyProtection="0"/>
    <xf numFmtId="0" fontId="120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0" fillId="48" borderId="0" applyNumberFormat="0" applyBorder="0" applyAlignment="0" applyProtection="0"/>
    <xf numFmtId="0" fontId="120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0" fillId="49" borderId="0" applyNumberFormat="0" applyBorder="0" applyAlignment="0" applyProtection="0"/>
    <xf numFmtId="0" fontId="120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0" fillId="50" borderId="0" applyNumberFormat="0" applyBorder="0" applyAlignment="0" applyProtection="0"/>
    <xf numFmtId="0" fontId="120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0" fillId="51" borderId="0" applyNumberFormat="0" applyBorder="0" applyAlignment="0" applyProtection="0"/>
    <xf numFmtId="0" fontId="120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1" fillId="52" borderId="16" applyNumberFormat="0" applyAlignment="0" applyProtection="0"/>
    <xf numFmtId="0" fontId="121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22" fillId="53" borderId="17" applyNumberFormat="0" applyAlignment="0" applyProtection="0"/>
    <xf numFmtId="0" fontId="122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3" fillId="53" borderId="16" applyNumberFormat="0" applyAlignment="0" applyProtection="0"/>
    <xf numFmtId="0" fontId="123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5" fillId="0" borderId="18" applyNumberFormat="0" applyFill="0" applyAlignment="0" applyProtection="0"/>
    <xf numFmtId="0" fontId="125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6" fillId="0" borderId="20" applyNumberFormat="0" applyFill="0" applyAlignment="0" applyProtection="0"/>
    <xf numFmtId="0" fontId="126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7" fillId="0" borderId="21" applyNumberFormat="0" applyFill="0" applyAlignment="0" applyProtection="0"/>
    <xf numFmtId="0" fontId="127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8" fillId="0" borderId="23" applyNumberFormat="0" applyFill="0" applyAlignment="0" applyProtection="0"/>
    <xf numFmtId="0" fontId="128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9" fillId="54" borderId="25" applyNumberFormat="0" applyAlignment="0" applyProtection="0"/>
    <xf numFmtId="0" fontId="129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1" fillId="55" borderId="0" applyNumberFormat="0" applyBorder="0" applyAlignment="0" applyProtection="0"/>
    <xf numFmtId="0" fontId="131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3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37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32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46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33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46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8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134" fillId="0" borderId="0" applyNumberFormat="0" applyFill="0" applyBorder="0" applyAlignment="0" applyProtection="0"/>
    <xf numFmtId="0" fontId="135" fillId="56" borderId="0" applyNumberFormat="0" applyBorder="0" applyAlignment="0" applyProtection="0"/>
    <xf numFmtId="0" fontId="135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7" fillId="0" borderId="27" applyNumberFormat="0" applyFill="0" applyAlignment="0" applyProtection="0"/>
    <xf numFmtId="0" fontId="137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9" fillId="58" borderId="0" applyNumberFormat="0" applyBorder="0" applyAlignment="0" applyProtection="0"/>
    <xf numFmtId="0" fontId="139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9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1" xfId="0" applyNumberFormat="1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vertical="center" wrapText="1"/>
    </xf>
    <xf numFmtId="3" fontId="4" fillId="17" borderId="62" xfId="0" applyNumberFormat="1" applyFont="1" applyFill="1" applyBorder="1" applyAlignment="1">
      <alignment vertical="center" wrapText="1"/>
    </xf>
    <xf numFmtId="0" fontId="2" fillId="11" borderId="63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0" fillId="0" borderId="31" xfId="1507" applyFont="1" applyBorder="1" applyAlignment="1">
      <alignment horizontal="center" vertical="center" wrapText="1"/>
      <protection/>
    </xf>
    <xf numFmtId="0" fontId="140" fillId="0" borderId="29" xfId="1507" applyFont="1" applyBorder="1" applyAlignment="1">
      <alignment vertical="center" wrapText="1"/>
      <protection/>
    </xf>
    <xf numFmtId="0" fontId="140" fillId="17" borderId="31" xfId="1507" applyFont="1" applyFill="1" applyBorder="1" applyAlignment="1">
      <alignment horizontal="center" vertical="center" wrapText="1"/>
      <protection/>
    </xf>
    <xf numFmtId="0" fontId="140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40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3" fillId="17" borderId="66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7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8" xfId="0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1" xfId="0" applyFont="1" applyFill="1" applyBorder="1" applyAlignment="1">
      <alignment horizontal="center" vertical="center" wrapText="1"/>
    </xf>
    <xf numFmtId="0" fontId="2" fillId="11" borderId="71" xfId="0" applyFont="1" applyFill="1" applyBorder="1" applyAlignment="1">
      <alignment horizontal="center" vertical="center" wrapText="1"/>
    </xf>
    <xf numFmtId="1" fontId="3" fillId="11" borderId="71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8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1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41" fillId="11" borderId="45" xfId="0" applyFont="1" applyFill="1" applyBorder="1" applyAlignment="1">
      <alignment horizontal="center" vertical="center" wrapText="1"/>
    </xf>
    <xf numFmtId="0" fontId="141" fillId="11" borderId="45" xfId="0" applyFont="1" applyFill="1" applyBorder="1" applyAlignment="1">
      <alignment vertical="center" wrapText="1"/>
    </xf>
    <xf numFmtId="3" fontId="141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8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3" fontId="3" fillId="11" borderId="72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0" fontId="3" fillId="11" borderId="72" xfId="0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72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4" xfId="0" applyNumberFormat="1" applyFont="1" applyFill="1" applyBorder="1" applyAlignment="1">
      <alignment horizontal="center" vertical="center" wrapText="1"/>
    </xf>
    <xf numFmtId="1" fontId="3" fillId="17" borderId="72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5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41" fillId="11" borderId="32" xfId="0" applyNumberFormat="1" applyFont="1" applyFill="1" applyBorder="1" applyAlignment="1">
      <alignment horizontal="center" vertical="center" wrapText="1"/>
    </xf>
    <xf numFmtId="1" fontId="141" fillId="11" borderId="62" xfId="0" applyNumberFormat="1" applyFont="1" applyFill="1" applyBorder="1" applyAlignment="1">
      <alignment horizontal="center" vertical="center" wrapText="1"/>
    </xf>
    <xf numFmtId="3" fontId="141" fillId="11" borderId="62" xfId="0" applyNumberFormat="1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3" fontId="11" fillId="11" borderId="62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2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141" fillId="59" borderId="45" xfId="0" applyFont="1" applyFill="1" applyBorder="1" applyAlignment="1">
      <alignment vertical="center" wrapText="1"/>
    </xf>
    <xf numFmtId="1" fontId="141" fillId="59" borderId="32" xfId="0" applyNumberFormat="1" applyFont="1" applyFill="1" applyBorder="1" applyAlignment="1">
      <alignment horizontal="center" vertical="center" wrapText="1"/>
    </xf>
    <xf numFmtId="1" fontId="141" fillId="59" borderId="62" xfId="0" applyNumberFormat="1" applyFont="1" applyFill="1" applyBorder="1" applyAlignment="1">
      <alignment horizontal="center" vertical="center" wrapText="1"/>
    </xf>
    <xf numFmtId="3" fontId="141" fillId="59" borderId="62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2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6" xfId="0" applyFont="1" applyFill="1" applyBorder="1" applyAlignment="1">
      <alignment vertical="center" wrapText="1"/>
    </xf>
    <xf numFmtId="0" fontId="5" fillId="11" borderId="76" xfId="0" applyFont="1" applyFill="1" applyBorder="1" applyAlignment="1">
      <alignment vertical="center" wrapText="1"/>
    </xf>
    <xf numFmtId="0" fontId="5" fillId="11" borderId="77" xfId="0" applyFont="1" applyFill="1" applyBorder="1" applyAlignment="1">
      <alignment vertical="center" wrapText="1"/>
    </xf>
    <xf numFmtId="0" fontId="5" fillId="0" borderId="77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8" xfId="0" applyFont="1" applyBorder="1" applyAlignment="1">
      <alignment vertical="center" wrapText="1"/>
    </xf>
    <xf numFmtId="1" fontId="4" fillId="0" borderId="79" xfId="0" applyNumberFormat="1" applyFont="1" applyBorder="1" applyAlignment="1">
      <alignment vertical="center" wrapText="1"/>
    </xf>
    <xf numFmtId="3" fontId="4" fillId="0" borderId="79" xfId="0" applyNumberFormat="1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6" xfId="0" applyFont="1" applyBorder="1" applyAlignment="1" applyProtection="1">
      <alignment/>
      <protection locked="0"/>
    </xf>
    <xf numFmtId="3" fontId="4" fillId="0" borderId="62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77" xfId="0" applyFont="1" applyBorder="1" applyAlignment="1" applyProtection="1">
      <alignment/>
      <protection locked="0"/>
    </xf>
    <xf numFmtId="0" fontId="5" fillId="0" borderId="77" xfId="0" applyFont="1" applyBorder="1" applyAlignment="1" applyProtection="1">
      <alignment wrapText="1"/>
      <protection locked="0"/>
    </xf>
    <xf numFmtId="0" fontId="5" fillId="0" borderId="77" xfId="0" applyFont="1" applyBorder="1" applyAlignment="1" applyProtection="1">
      <alignment vertical="center" wrapText="1"/>
      <protection locked="0"/>
    </xf>
    <xf numFmtId="0" fontId="5" fillId="0" borderId="77" xfId="0" applyFont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1" xfId="0" applyFont="1" applyBorder="1" applyAlignment="1">
      <alignment vertical="center" wrapText="1"/>
    </xf>
    <xf numFmtId="0" fontId="5" fillId="59" borderId="77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6" xfId="0" applyFont="1" applyBorder="1" applyAlignment="1">
      <alignment vertical="center" wrapText="1"/>
    </xf>
    <xf numFmtId="0" fontId="5" fillId="0" borderId="82" xfId="0" applyFont="1" applyFill="1" applyBorder="1" applyAlignment="1">
      <alignment vertical="center" wrapText="1"/>
    </xf>
    <xf numFmtId="0" fontId="4" fillId="17" borderId="78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42" fillId="0" borderId="76" xfId="0" applyFont="1" applyBorder="1" applyAlignment="1" applyProtection="1">
      <alignment vertical="center" wrapText="1"/>
      <protection locked="0"/>
    </xf>
    <xf numFmtId="3" fontId="143" fillId="0" borderId="62" xfId="0" applyNumberFormat="1" applyFont="1" applyFill="1" applyBorder="1" applyAlignment="1">
      <alignment vertical="center" wrapText="1"/>
    </xf>
    <xf numFmtId="0" fontId="142" fillId="0" borderId="0" xfId="0" applyFont="1" applyAlignment="1">
      <alignment/>
    </xf>
    <xf numFmtId="3" fontId="142" fillId="0" borderId="0" xfId="0" applyNumberFormat="1" applyFont="1" applyAlignment="1">
      <alignment/>
    </xf>
    <xf numFmtId="2" fontId="142" fillId="0" borderId="0" xfId="0" applyNumberFormat="1" applyFont="1" applyAlignment="1">
      <alignment/>
    </xf>
    <xf numFmtId="0" fontId="144" fillId="0" borderId="0" xfId="0" applyFont="1" applyAlignment="1">
      <alignment/>
    </xf>
    <xf numFmtId="3" fontId="144" fillId="0" borderId="0" xfId="0" applyNumberFormat="1" applyFont="1" applyAlignment="1">
      <alignment/>
    </xf>
    <xf numFmtId="0" fontId="2" fillId="0" borderId="62" xfId="0" applyFont="1" applyBorder="1" applyAlignment="1">
      <alignment vertical="center" wrapText="1"/>
    </xf>
    <xf numFmtId="3" fontId="143" fillId="0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3" fontId="4" fillId="0" borderId="84" xfId="0" applyNumberFormat="1" applyFont="1" applyBorder="1" applyAlignment="1">
      <alignment vertical="center" wrapText="1"/>
    </xf>
    <xf numFmtId="0" fontId="142" fillId="0" borderId="77" xfId="0" applyFont="1" applyBorder="1" applyAlignment="1" applyProtection="1">
      <alignment vertical="center" wrapText="1"/>
      <protection locked="0"/>
    </xf>
    <xf numFmtId="0" fontId="5" fillId="0" borderId="82" xfId="0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3" fontId="4" fillId="0" borderId="79" xfId="0" applyNumberFormat="1" applyFont="1" applyFill="1" applyBorder="1" applyAlignment="1">
      <alignment vertical="center" wrapText="1"/>
    </xf>
    <xf numFmtId="0" fontId="4" fillId="0" borderId="76" xfId="0" applyFont="1" applyBorder="1" applyAlignment="1">
      <alignment vertical="center" wrapText="1"/>
    </xf>
    <xf numFmtId="0" fontId="143" fillId="0" borderId="76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2" xfId="0" applyNumberFormat="1" applyFont="1" applyFill="1" applyBorder="1" applyAlignment="1">
      <alignment horizontal="center" vertical="center" wrapText="1"/>
    </xf>
    <xf numFmtId="1" fontId="2" fillId="59" borderId="62" xfId="0" applyNumberFormat="1" applyFont="1" applyFill="1" applyBorder="1" applyAlignment="1">
      <alignment horizontal="center" vertical="center" wrapText="1"/>
    </xf>
    <xf numFmtId="0" fontId="2" fillId="59" borderId="62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5" fillId="17" borderId="29" xfId="1507" applyFont="1" applyFill="1" applyBorder="1" applyAlignment="1">
      <alignment vertical="center" wrapText="1"/>
      <protection/>
    </xf>
    <xf numFmtId="0" fontId="145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6" fillId="0" borderId="0" xfId="0" applyFont="1" applyAlignment="1">
      <alignment/>
    </xf>
    <xf numFmtId="3" fontId="146" fillId="0" borderId="0" xfId="0" applyNumberFormat="1" applyFont="1" applyAlignment="1">
      <alignment/>
    </xf>
    <xf numFmtId="3" fontId="146" fillId="11" borderId="62" xfId="0" applyNumberFormat="1" applyFont="1" applyFill="1" applyBorder="1" applyAlignment="1">
      <alignment vertical="center" wrapText="1"/>
    </xf>
    <xf numFmtId="3" fontId="146" fillId="11" borderId="33" xfId="0" applyNumberFormat="1" applyFont="1" applyFill="1" applyBorder="1" applyAlignment="1">
      <alignment vertical="center" wrapText="1"/>
    </xf>
    <xf numFmtId="3" fontId="146" fillId="11" borderId="85" xfId="0" applyNumberFormat="1" applyFont="1" applyFill="1" applyBorder="1" applyAlignment="1">
      <alignment vertical="center" wrapText="1"/>
    </xf>
    <xf numFmtId="3" fontId="146" fillId="11" borderId="29" xfId="0" applyNumberFormat="1" applyFont="1" applyFill="1" applyBorder="1" applyAlignment="1">
      <alignment vertical="center" wrapText="1"/>
    </xf>
    <xf numFmtId="3" fontId="146" fillId="11" borderId="31" xfId="0" applyNumberFormat="1" applyFont="1" applyFill="1" applyBorder="1" applyAlignment="1">
      <alignment vertical="center" wrapText="1"/>
    </xf>
    <xf numFmtId="3" fontId="146" fillId="11" borderId="86" xfId="0" applyNumberFormat="1" applyFont="1" applyFill="1" applyBorder="1" applyAlignment="1">
      <alignment vertical="center" wrapText="1"/>
    </xf>
    <xf numFmtId="3" fontId="147" fillId="59" borderId="29" xfId="0" applyNumberFormat="1" applyFont="1" applyFill="1" applyBorder="1" applyAlignment="1">
      <alignment vertical="center" wrapText="1"/>
    </xf>
    <xf numFmtId="3" fontId="147" fillId="59" borderId="33" xfId="0" applyNumberFormat="1" applyFont="1" applyFill="1" applyBorder="1" applyAlignment="1">
      <alignment vertical="center" wrapText="1"/>
    </xf>
    <xf numFmtId="3" fontId="147" fillId="59" borderId="85" xfId="0" applyNumberFormat="1" applyFont="1" applyFill="1" applyBorder="1" applyAlignment="1">
      <alignment vertical="center" wrapText="1"/>
    </xf>
    <xf numFmtId="3" fontId="148" fillId="0" borderId="79" xfId="0" applyNumberFormat="1" applyFont="1" applyBorder="1" applyAlignment="1">
      <alignment vertical="center" wrapText="1"/>
    </xf>
    <xf numFmtId="3" fontId="148" fillId="0" borderId="87" xfId="0" applyNumberFormat="1" applyFont="1" applyBorder="1" applyAlignment="1">
      <alignment vertical="center" wrapText="1"/>
    </xf>
    <xf numFmtId="3" fontId="146" fillId="59" borderId="74" xfId="0" applyNumberFormat="1" applyFont="1" applyFill="1" applyBorder="1" applyAlignment="1">
      <alignment vertical="center" wrapText="1"/>
    </xf>
    <xf numFmtId="3" fontId="146" fillId="59" borderId="88" xfId="0" applyNumberFormat="1" applyFont="1" applyFill="1" applyBorder="1" applyAlignment="1">
      <alignment vertical="center" wrapText="1"/>
    </xf>
    <xf numFmtId="3" fontId="146" fillId="59" borderId="89" xfId="0" applyNumberFormat="1" applyFont="1" applyFill="1" applyBorder="1" applyAlignment="1">
      <alignment vertical="center" wrapText="1"/>
    </xf>
    <xf numFmtId="3" fontId="146" fillId="11" borderId="79" xfId="0" applyNumberFormat="1" applyFont="1" applyFill="1" applyBorder="1" applyAlignment="1">
      <alignment vertical="center" wrapText="1"/>
    </xf>
    <xf numFmtId="3" fontId="146" fillId="11" borderId="90" xfId="0" applyNumberFormat="1" applyFont="1" applyFill="1" applyBorder="1" applyAlignment="1">
      <alignment vertical="center" wrapText="1"/>
    </xf>
    <xf numFmtId="3" fontId="146" fillId="11" borderId="87" xfId="0" applyNumberFormat="1" applyFont="1" applyFill="1" applyBorder="1" applyAlignment="1">
      <alignment vertical="center" wrapText="1"/>
    </xf>
    <xf numFmtId="3" fontId="146" fillId="59" borderId="63" xfId="0" applyNumberFormat="1" applyFont="1" applyFill="1" applyBorder="1" applyAlignment="1">
      <alignment vertical="center" wrapText="1"/>
    </xf>
    <xf numFmtId="3" fontId="146" fillId="59" borderId="62" xfId="0" applyNumberFormat="1" applyFont="1" applyFill="1" applyBorder="1" applyAlignment="1">
      <alignment vertical="center" wrapText="1"/>
    </xf>
    <xf numFmtId="3" fontId="146" fillId="59" borderId="33" xfId="0" applyNumberFormat="1" applyFont="1" applyFill="1" applyBorder="1" applyAlignment="1">
      <alignment vertical="center" wrapText="1"/>
    </xf>
    <xf numFmtId="3" fontId="146" fillId="59" borderId="85" xfId="0" applyNumberFormat="1" applyFont="1" applyFill="1" applyBorder="1" applyAlignment="1">
      <alignment vertical="center" wrapText="1"/>
    </xf>
    <xf numFmtId="3" fontId="146" fillId="59" borderId="29" xfId="0" applyNumberFormat="1" applyFont="1" applyFill="1" applyBorder="1" applyAlignment="1">
      <alignment vertical="center" wrapText="1"/>
    </xf>
    <xf numFmtId="3" fontId="146" fillId="59" borderId="31" xfId="0" applyNumberFormat="1" applyFont="1" applyFill="1" applyBorder="1" applyAlignment="1">
      <alignment vertical="center" wrapText="1"/>
    </xf>
    <xf numFmtId="3" fontId="146" fillId="59" borderId="86" xfId="0" applyNumberFormat="1" applyFont="1" applyFill="1" applyBorder="1" applyAlignment="1">
      <alignment vertical="center" wrapText="1"/>
    </xf>
    <xf numFmtId="3" fontId="146" fillId="59" borderId="91" xfId="0" applyNumberFormat="1" applyFont="1" applyFill="1" applyBorder="1" applyAlignment="1">
      <alignment vertical="center" wrapText="1"/>
    </xf>
    <xf numFmtId="3" fontId="146" fillId="59" borderId="84" xfId="0" applyNumberFormat="1" applyFont="1" applyFill="1" applyBorder="1" applyAlignment="1">
      <alignment vertical="center" wrapText="1"/>
    </xf>
    <xf numFmtId="3" fontId="146" fillId="59" borderId="92" xfId="0" applyNumberFormat="1" applyFont="1" applyFill="1" applyBorder="1" applyAlignment="1">
      <alignment vertical="center" wrapText="1"/>
    </xf>
    <xf numFmtId="3" fontId="147" fillId="59" borderId="86" xfId="0" applyNumberFormat="1" applyFont="1" applyFill="1" applyBorder="1" applyAlignment="1">
      <alignment vertical="center" wrapText="1"/>
    </xf>
    <xf numFmtId="3" fontId="146" fillId="0" borderId="29" xfId="0" applyNumberFormat="1" applyFont="1" applyFill="1" applyBorder="1" applyAlignment="1">
      <alignment vertical="center" wrapText="1"/>
    </xf>
    <xf numFmtId="3" fontId="146" fillId="0" borderId="33" xfId="0" applyNumberFormat="1" applyFont="1" applyFill="1" applyBorder="1" applyAlignment="1">
      <alignment vertical="center" wrapText="1"/>
    </xf>
    <xf numFmtId="3" fontId="146" fillId="0" borderId="85" xfId="0" applyNumberFormat="1" applyFont="1" applyFill="1" applyBorder="1" applyAlignment="1">
      <alignment vertical="center" wrapText="1"/>
    </xf>
    <xf numFmtId="3" fontId="148" fillId="17" borderId="79" xfId="0" applyNumberFormat="1" applyFont="1" applyFill="1" applyBorder="1" applyAlignment="1">
      <alignment vertical="center" wrapText="1"/>
    </xf>
    <xf numFmtId="3" fontId="146" fillId="59" borderId="0" xfId="0" applyNumberFormat="1" applyFont="1" applyFill="1" applyAlignment="1">
      <alignment/>
    </xf>
    <xf numFmtId="0" fontId="146" fillId="59" borderId="0" xfId="0" applyFont="1" applyFill="1" applyAlignment="1">
      <alignment/>
    </xf>
    <xf numFmtId="0" fontId="144" fillId="0" borderId="76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2" fillId="11" borderId="93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9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2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5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4" xfId="0" applyNumberFormat="1" applyFont="1" applyFill="1" applyBorder="1" applyAlignment="1">
      <alignment vertical="center" wrapText="1"/>
    </xf>
    <xf numFmtId="3" fontId="5" fillId="59" borderId="88" xfId="0" applyNumberFormat="1" applyFont="1" applyFill="1" applyBorder="1" applyAlignment="1">
      <alignment vertical="center" wrapText="1"/>
    </xf>
    <xf numFmtId="3" fontId="5" fillId="59" borderId="89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79" xfId="0" applyNumberFormat="1" applyFont="1" applyFill="1" applyBorder="1" applyAlignment="1">
      <alignment vertical="center" wrapText="1"/>
    </xf>
    <xf numFmtId="3" fontId="5" fillId="59" borderId="62" xfId="0" applyNumberFormat="1" applyFont="1" applyFill="1" applyBorder="1" applyAlignment="1">
      <alignment vertical="center" wrapText="1"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7" xfId="1425" applyFont="1" applyBorder="1" applyAlignment="1">
      <alignment vertical="center" wrapText="1"/>
      <protection/>
    </xf>
    <xf numFmtId="0" fontId="3" fillId="0" borderId="82" xfId="1425" applyFont="1" applyBorder="1" applyAlignment="1">
      <alignment vertical="center" wrapText="1"/>
      <protection/>
    </xf>
    <xf numFmtId="3" fontId="3" fillId="0" borderId="63" xfId="1425" applyNumberFormat="1" applyFont="1" applyBorder="1" applyAlignment="1">
      <alignment vertical="center" wrapText="1"/>
      <protection/>
    </xf>
    <xf numFmtId="0" fontId="2" fillId="0" borderId="76" xfId="1425" applyFont="1" applyBorder="1" applyAlignment="1">
      <alignment vertical="center" wrapText="1"/>
      <protection/>
    </xf>
    <xf numFmtId="0" fontId="2" fillId="0" borderId="77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3" fontId="3" fillId="17" borderId="62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4" xfId="1425" applyNumberFormat="1" applyFont="1" applyFill="1" applyBorder="1" applyAlignment="1">
      <alignment vertical="center" wrapText="1"/>
      <protection/>
    </xf>
    <xf numFmtId="3" fontId="2" fillId="59" borderId="94" xfId="1425" applyNumberFormat="1" applyFont="1" applyFill="1" applyBorder="1" applyAlignment="1">
      <alignment vertical="center" wrapText="1"/>
      <protection/>
    </xf>
    <xf numFmtId="3" fontId="11" fillId="59" borderId="94" xfId="1425" applyNumberFormat="1" applyFont="1" applyFill="1" applyBorder="1" applyAlignment="1">
      <alignment vertical="center" wrapText="1"/>
      <protection/>
    </xf>
    <xf numFmtId="3" fontId="2" fillId="59" borderId="65" xfId="1425" applyNumberFormat="1" applyFont="1" applyFill="1" applyBorder="1" applyAlignment="1">
      <alignment vertical="center" wrapText="1"/>
      <protection/>
    </xf>
    <xf numFmtId="0" fontId="140" fillId="0" borderId="0" xfId="0" applyFont="1" applyAlignment="1">
      <alignment/>
    </xf>
    <xf numFmtId="0" fontId="140" fillId="0" borderId="0" xfId="0" applyFont="1" applyAlignment="1">
      <alignment horizontal="right"/>
    </xf>
    <xf numFmtId="3" fontId="4" fillId="11" borderId="90" xfId="0" applyNumberFormat="1" applyFont="1" applyFill="1" applyBorder="1" applyAlignment="1">
      <alignment vertical="center" wrapText="1"/>
    </xf>
    <xf numFmtId="3" fontId="4" fillId="11" borderId="87" xfId="0" applyNumberFormat="1" applyFont="1" applyFill="1" applyBorder="1" applyAlignment="1">
      <alignment vertical="center" wrapText="1"/>
    </xf>
    <xf numFmtId="0" fontId="6" fillId="0" borderId="78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5" xfId="0" applyFont="1" applyFill="1" applyBorder="1" applyAlignment="1">
      <alignment vertical="center" wrapText="1"/>
    </xf>
    <xf numFmtId="1" fontId="140" fillId="59" borderId="30" xfId="0" applyNumberFormat="1" applyFont="1" applyFill="1" applyBorder="1" applyAlignment="1">
      <alignment horizontal="center" vertical="center" wrapText="1"/>
    </xf>
    <xf numFmtId="1" fontId="150" fillId="11" borderId="40" xfId="0" applyNumberFormat="1" applyFont="1" applyFill="1" applyBorder="1" applyAlignment="1">
      <alignment horizontal="center" vertical="center" wrapText="1"/>
    </xf>
    <xf numFmtId="1" fontId="151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2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2" fillId="0" borderId="0" xfId="919" applyFont="1">
      <alignment/>
      <protection/>
    </xf>
    <xf numFmtId="2" fontId="152" fillId="59" borderId="29" xfId="1507" applyNumberFormat="1" applyFont="1" applyFill="1" applyBorder="1" applyAlignment="1">
      <alignment vertical="center" wrapText="1"/>
      <protection/>
    </xf>
    <xf numFmtId="4" fontId="152" fillId="59" borderId="29" xfId="1507" applyNumberFormat="1" applyFont="1" applyFill="1" applyBorder="1">
      <alignment/>
      <protection/>
    </xf>
    <xf numFmtId="2" fontId="153" fillId="59" borderId="29" xfId="1507" applyNumberFormat="1" applyFont="1" applyFill="1" applyBorder="1" applyAlignment="1">
      <alignment vertical="center" wrapText="1"/>
      <protection/>
    </xf>
    <xf numFmtId="4" fontId="153" fillId="59" borderId="29" xfId="1507" applyNumberFormat="1" applyFont="1" applyFill="1" applyBorder="1" applyAlignment="1">
      <alignment vertical="center" wrapText="1"/>
      <protection/>
    </xf>
    <xf numFmtId="2" fontId="154" fillId="59" borderId="29" xfId="1507" applyNumberFormat="1" applyFont="1" applyFill="1" applyBorder="1" applyAlignment="1">
      <alignment horizontal="center" vertical="center" wrapText="1"/>
      <protection/>
    </xf>
    <xf numFmtId="0" fontId="152" fillId="0" borderId="0" xfId="919" applyFont="1" applyAlignment="1">
      <alignment horizontal="right"/>
      <protection/>
    </xf>
    <xf numFmtId="4" fontId="153" fillId="59" borderId="29" xfId="1507" applyNumberFormat="1" applyFont="1" applyFill="1" applyBorder="1">
      <alignment/>
      <protection/>
    </xf>
    <xf numFmtId="0" fontId="155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41" fillId="11" borderId="49" xfId="0" applyFont="1" applyFill="1" applyBorder="1" applyAlignment="1">
      <alignment horizontal="center" vertical="center" wrapText="1"/>
    </xf>
    <xf numFmtId="0" fontId="141" fillId="11" borderId="49" xfId="0" applyFont="1" applyFill="1" applyBorder="1" applyAlignment="1">
      <alignment vertical="center" wrapText="1"/>
    </xf>
    <xf numFmtId="3" fontId="156" fillId="59" borderId="0" xfId="0" applyNumberFormat="1" applyFont="1" applyFill="1" applyAlignment="1">
      <alignment/>
    </xf>
    <xf numFmtId="49" fontId="2" fillId="0" borderId="62" xfId="2078" applyNumberFormat="1" applyFont="1" applyBorder="1" applyAlignment="1">
      <alignment horizontal="center" vertical="center"/>
      <protection/>
    </xf>
    <xf numFmtId="0" fontId="2" fillId="60" borderId="69" xfId="2078" applyFont="1" applyFill="1" applyBorder="1" applyAlignment="1">
      <alignment vertical="center" wrapText="1"/>
      <protection/>
    </xf>
    <xf numFmtId="4" fontId="140" fillId="0" borderId="29" xfId="2078" applyNumberFormat="1" applyFont="1" applyBorder="1" applyAlignment="1">
      <alignment horizontal="right" vertical="center"/>
      <protection/>
    </xf>
    <xf numFmtId="4" fontId="157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5" xfId="2078" applyFont="1" applyFill="1" applyBorder="1" applyAlignment="1">
      <alignment vertical="center" wrapText="1"/>
      <protection/>
    </xf>
    <xf numFmtId="0" fontId="2" fillId="0" borderId="65" xfId="2078" applyFont="1" applyBorder="1" applyAlignment="1">
      <alignment vertical="center" wrapText="1"/>
      <protection/>
    </xf>
    <xf numFmtId="4" fontId="150" fillId="0" borderId="29" xfId="2078" applyNumberFormat="1" applyFont="1" applyBorder="1" applyAlignment="1">
      <alignment horizontal="right" vertical="center"/>
      <protection/>
    </xf>
    <xf numFmtId="0" fontId="150" fillId="0" borderId="29" xfId="2078" applyFont="1" applyBorder="1" applyAlignment="1">
      <alignment vertical="center"/>
      <protection/>
    </xf>
    <xf numFmtId="4" fontId="140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40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5" xfId="2078" applyFont="1" applyFill="1" applyBorder="1" applyAlignment="1">
      <alignment vertical="center" wrapText="1"/>
      <protection/>
    </xf>
    <xf numFmtId="0" fontId="15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2" xfId="0" applyNumberFormat="1" applyFont="1" applyFill="1" applyBorder="1" applyAlignment="1">
      <alignment horizontal="center" vertical="center" wrapText="1"/>
    </xf>
    <xf numFmtId="4" fontId="150" fillId="0" borderId="0" xfId="0" applyNumberFormat="1" applyFont="1" applyAlignment="1">
      <alignment wrapText="1"/>
    </xf>
    <xf numFmtId="4" fontId="140" fillId="0" borderId="0" xfId="0" applyNumberFormat="1" applyFont="1" applyAlignment="1">
      <alignment wrapText="1"/>
    </xf>
    <xf numFmtId="4" fontId="150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4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6" xfId="0" applyFont="1" applyFill="1" applyBorder="1" applyAlignment="1">
      <alignment horizontal="center" vertical="center" wrapText="1"/>
    </xf>
    <xf numFmtId="0" fontId="2" fillId="11" borderId="9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58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42" fillId="11" borderId="32" xfId="0" applyNumberFormat="1" applyFont="1" applyFill="1" applyBorder="1" applyAlignment="1">
      <alignment horizontal="center" vertical="center" wrapText="1"/>
    </xf>
    <xf numFmtId="1" fontId="2" fillId="59" borderId="67" xfId="0" applyNumberFormat="1" applyFont="1" applyFill="1" applyBorder="1" applyAlignment="1">
      <alignment horizontal="center" vertical="center" wrapText="1"/>
    </xf>
    <xf numFmtId="1" fontId="2" fillId="59" borderId="58" xfId="0" applyNumberFormat="1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1" xfId="0" applyNumberFormat="1" applyFont="1" applyFill="1" applyBorder="1" applyAlignment="1">
      <alignment horizontal="center" vertical="center" wrapText="1"/>
    </xf>
    <xf numFmtId="0" fontId="2" fillId="59" borderId="98" xfId="0" applyFont="1" applyFill="1" applyBorder="1" applyAlignment="1">
      <alignment horizontal="center" vertical="center" wrapText="1"/>
    </xf>
    <xf numFmtId="0" fontId="12" fillId="59" borderId="98" xfId="0" applyFont="1" applyFill="1" applyBorder="1" applyAlignment="1">
      <alignment horizontal="center" vertical="center" wrapText="1"/>
    </xf>
    <xf numFmtId="1" fontId="12" fillId="59" borderId="62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6" fillId="0" borderId="77" xfId="0" applyFont="1" applyBorder="1" applyAlignment="1">
      <alignment/>
    </xf>
    <xf numFmtId="0" fontId="146" fillId="0" borderId="82" xfId="0" applyFont="1" applyBorder="1" applyAlignment="1">
      <alignment/>
    </xf>
    <xf numFmtId="0" fontId="148" fillId="57" borderId="78" xfId="0" applyFont="1" applyFill="1" applyBorder="1" applyAlignment="1">
      <alignment horizontal="right"/>
    </xf>
    <xf numFmtId="3" fontId="148" fillId="57" borderId="79" xfId="0" applyNumberFormat="1" applyFont="1" applyFill="1" applyBorder="1" applyAlignment="1">
      <alignment horizontal="center"/>
    </xf>
    <xf numFmtId="3" fontId="148" fillId="57" borderId="90" xfId="0" applyNumberFormat="1" applyFont="1" applyFill="1" applyBorder="1" applyAlignment="1">
      <alignment horizontal="center"/>
    </xf>
    <xf numFmtId="3" fontId="148" fillId="57" borderId="99" xfId="0" applyNumberFormat="1" applyFont="1" applyFill="1" applyBorder="1" applyAlignment="1">
      <alignment horizontal="center"/>
    </xf>
    <xf numFmtId="3" fontId="148" fillId="57" borderId="100" xfId="0" applyNumberFormat="1" applyFont="1" applyFill="1" applyBorder="1" applyAlignment="1">
      <alignment horizontal="center"/>
    </xf>
    <xf numFmtId="3" fontId="148" fillId="57" borderId="101" xfId="0" applyNumberFormat="1" applyFont="1" applyFill="1" applyBorder="1" applyAlignment="1">
      <alignment horizontal="center"/>
    </xf>
    <xf numFmtId="3" fontId="148" fillId="57" borderId="102" xfId="0" applyNumberFormat="1" applyFont="1" applyFill="1" applyBorder="1" applyAlignment="1">
      <alignment horizontal="center"/>
    </xf>
    <xf numFmtId="0" fontId="146" fillId="0" borderId="76" xfId="0" applyNumberFormat="1" applyFont="1" applyBorder="1" applyAlignment="1">
      <alignment vertical="center" wrapText="1"/>
    </xf>
    <xf numFmtId="3" fontId="159" fillId="0" borderId="0" xfId="0" applyNumberFormat="1" applyFont="1" applyAlignment="1">
      <alignment/>
    </xf>
    <xf numFmtId="0" fontId="160" fillId="57" borderId="103" xfId="0" applyFont="1" applyFill="1" applyBorder="1" applyAlignment="1">
      <alignment horizontal="center" vertical="center" wrapText="1"/>
    </xf>
    <xf numFmtId="3" fontId="160" fillId="0" borderId="62" xfId="0" applyNumberFormat="1" applyFont="1" applyBorder="1" applyAlignment="1">
      <alignment horizontal="center"/>
    </xf>
    <xf numFmtId="3" fontId="160" fillId="0" borderId="29" xfId="0" applyNumberFormat="1" applyFont="1" applyBorder="1" applyAlignment="1">
      <alignment horizontal="center"/>
    </xf>
    <xf numFmtId="3" fontId="160" fillId="0" borderId="63" xfId="0" applyNumberFormat="1" applyFont="1" applyBorder="1" applyAlignment="1">
      <alignment horizontal="center"/>
    </xf>
    <xf numFmtId="3" fontId="161" fillId="57" borderId="79" xfId="0" applyNumberFormat="1" applyFont="1" applyFill="1" applyBorder="1" applyAlignment="1">
      <alignment horizontal="center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40" fillId="0" borderId="29" xfId="2078" applyNumberFormat="1" applyFont="1" applyBorder="1" applyAlignment="1">
      <alignment horizontal="center" vertical="center"/>
      <protection/>
    </xf>
    <xf numFmtId="0" fontId="85" fillId="11" borderId="62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3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69" xfId="0" applyNumberFormat="1" applyFont="1" applyFill="1" applyBorder="1" applyAlignment="1">
      <alignment horizontal="center" vertical="center" wrapText="1"/>
    </xf>
    <xf numFmtId="3" fontId="5" fillId="59" borderId="69" xfId="0" applyNumberFormat="1" applyFont="1" applyFill="1" applyBorder="1" applyAlignment="1">
      <alignment horizontal="center" vertical="center" wrapText="1"/>
    </xf>
    <xf numFmtId="3" fontId="4" fillId="17" borderId="62" xfId="0" applyNumberFormat="1" applyFont="1" applyFill="1" applyBorder="1" applyAlignment="1">
      <alignment horizontal="center" vertical="center" wrapText="1"/>
    </xf>
    <xf numFmtId="0" fontId="162" fillId="0" borderId="0" xfId="0" applyFont="1" applyAlignment="1">
      <alignment vertical="center" wrapText="1"/>
    </xf>
    <xf numFmtId="2" fontId="162" fillId="0" borderId="0" xfId="0" applyNumberFormat="1" applyFont="1" applyAlignment="1">
      <alignment vertical="center" wrapText="1"/>
    </xf>
    <xf numFmtId="0" fontId="163" fillId="0" borderId="0" xfId="0" applyFont="1" applyAlignment="1">
      <alignment vertical="center" wrapText="1"/>
    </xf>
    <xf numFmtId="2" fontId="163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69" xfId="0" applyFont="1" applyBorder="1" applyAlignment="1">
      <alignment/>
    </xf>
    <xf numFmtId="3" fontId="4" fillId="59" borderId="62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6" fillId="59" borderId="0" xfId="0" applyNumberFormat="1" applyFont="1" applyFill="1" applyAlignment="1">
      <alignment/>
    </xf>
    <xf numFmtId="191" fontId="164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5" fillId="59" borderId="0" xfId="0" applyFont="1" applyFill="1" applyAlignment="1">
      <alignment/>
    </xf>
    <xf numFmtId="3" fontId="145" fillId="59" borderId="0" xfId="0" applyNumberFormat="1" applyFont="1" applyFill="1" applyAlignment="1">
      <alignment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6" fillId="59" borderId="29" xfId="0" applyNumberFormat="1" applyFont="1" applyFill="1" applyBorder="1" applyAlignment="1">
      <alignment/>
    </xf>
    <xf numFmtId="3" fontId="145" fillId="59" borderId="29" xfId="0" applyNumberFormat="1" applyFont="1" applyFill="1" applyBorder="1" applyAlignment="1">
      <alignment/>
    </xf>
    <xf numFmtId="0" fontId="5" fillId="11" borderId="77" xfId="0" applyFont="1" applyFill="1" applyBorder="1" applyAlignment="1">
      <alignment horizontal="left" vertical="center" wrapText="1"/>
    </xf>
    <xf numFmtId="0" fontId="148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3" xfId="1425" applyNumberFormat="1" applyFont="1" applyFill="1" applyBorder="1" applyAlignment="1">
      <alignment vertical="center" wrapText="1"/>
      <protection/>
    </xf>
    <xf numFmtId="3" fontId="35" fillId="59" borderId="63" xfId="1425" applyNumberFormat="1" applyFont="1" applyFill="1" applyBorder="1" applyAlignment="1">
      <alignment vertical="center" wrapText="1"/>
      <protection/>
    </xf>
    <xf numFmtId="3" fontId="11" fillId="59" borderId="62" xfId="1425" applyNumberFormat="1" applyFont="1" applyFill="1" applyBorder="1" applyAlignment="1">
      <alignment vertical="center" wrapText="1"/>
      <protection/>
    </xf>
    <xf numFmtId="3" fontId="160" fillId="59" borderId="29" xfId="0" applyNumberFormat="1" applyFont="1" applyFill="1" applyBorder="1" applyAlignment="1">
      <alignment horizontal="center"/>
    </xf>
    <xf numFmtId="0" fontId="5" fillId="11" borderId="76" xfId="0" applyFont="1" applyFill="1" applyBorder="1" applyAlignment="1">
      <alignment horizontal="left" vertical="center" wrapText="1"/>
    </xf>
    <xf numFmtId="0" fontId="152" fillId="17" borderId="104" xfId="0" applyFont="1" applyFill="1" applyBorder="1" applyAlignment="1">
      <alignment horizontal="center" vertical="top" wrapText="1"/>
    </xf>
    <xf numFmtId="3" fontId="152" fillId="17" borderId="105" xfId="0" applyNumberFormat="1" applyFont="1" applyFill="1" applyBorder="1" applyAlignment="1">
      <alignment horizontal="center" vertical="top" wrapText="1"/>
    </xf>
    <xf numFmtId="3" fontId="4" fillId="0" borderId="90" xfId="0" applyNumberFormat="1" applyFont="1" applyBorder="1" applyAlignment="1">
      <alignment vertical="center" wrapText="1"/>
    </xf>
    <xf numFmtId="0" fontId="152" fillId="17" borderId="105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6" fillId="0" borderId="29" xfId="2902" applyFont="1" applyBorder="1" applyAlignment="1" applyProtection="1">
      <alignment horizontal="center" vertical="center" wrapText="1"/>
      <protection/>
    </xf>
    <xf numFmtId="0" fontId="5" fillId="0" borderId="78" xfId="0" applyFont="1" applyBorder="1" applyAlignment="1">
      <alignment vertical="center" wrapText="1"/>
    </xf>
    <xf numFmtId="3" fontId="5" fillId="11" borderId="79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1" fontId="5" fillId="0" borderId="89" xfId="0" applyNumberFormat="1" applyFont="1" applyBorder="1" applyAlignment="1">
      <alignment/>
    </xf>
    <xf numFmtId="0" fontId="5" fillId="0" borderId="89" xfId="0" applyFont="1" applyBorder="1" applyAlignment="1">
      <alignment/>
    </xf>
    <xf numFmtId="3" fontId="148" fillId="17" borderId="33" xfId="0" applyNumberFormat="1" applyFont="1" applyFill="1" applyBorder="1" applyAlignment="1">
      <alignment horizontal="center" vertical="top" wrapText="1"/>
    </xf>
    <xf numFmtId="0" fontId="142" fillId="0" borderId="76" xfId="0" applyFont="1" applyBorder="1" applyAlignment="1" applyProtection="1">
      <alignment horizontal="left" vertical="center" wrapText="1" indent="2"/>
      <protection locked="0"/>
    </xf>
    <xf numFmtId="0" fontId="4" fillId="0" borderId="80" xfId="0" applyFont="1" applyBorder="1" applyAlignment="1">
      <alignment vertical="center" wrapText="1"/>
    </xf>
    <xf numFmtId="1" fontId="4" fillId="0" borderId="103" xfId="0" applyNumberFormat="1" applyFont="1" applyBorder="1" applyAlignment="1">
      <alignment vertical="center" wrapText="1"/>
    </xf>
    <xf numFmtId="3" fontId="148" fillId="0" borderId="103" xfId="0" applyNumberFormat="1" applyFont="1" applyBorder="1" applyAlignment="1">
      <alignment vertical="center" wrapText="1"/>
    </xf>
    <xf numFmtId="3" fontId="148" fillId="0" borderId="106" xfId="0" applyNumberFormat="1" applyFont="1" applyBorder="1" applyAlignment="1">
      <alignment vertical="center" wrapText="1"/>
    </xf>
    <xf numFmtId="0" fontId="5" fillId="0" borderId="107" xfId="0" applyFont="1" applyFill="1" applyBorder="1" applyAlignment="1">
      <alignment vertical="center" wrapText="1"/>
    </xf>
    <xf numFmtId="3" fontId="4" fillId="0" borderId="105" xfId="0" applyNumberFormat="1" applyFont="1" applyBorder="1" applyAlignment="1">
      <alignment vertical="center" wrapText="1"/>
    </xf>
    <xf numFmtId="3" fontId="146" fillId="11" borderId="105" xfId="0" applyNumberFormat="1" applyFont="1" applyFill="1" applyBorder="1" applyAlignment="1">
      <alignment vertical="center" wrapText="1"/>
    </xf>
    <xf numFmtId="3" fontId="146" fillId="11" borderId="104" xfId="0" applyNumberFormat="1" applyFont="1" applyFill="1" applyBorder="1" applyAlignment="1">
      <alignment vertical="center" wrapText="1"/>
    </xf>
    <xf numFmtId="3" fontId="5" fillId="11" borderId="63" xfId="0" applyNumberFormat="1" applyFont="1" applyFill="1" applyBorder="1" applyAlignment="1">
      <alignment vertical="center" wrapText="1"/>
    </xf>
    <xf numFmtId="3" fontId="148" fillId="17" borderId="90" xfId="0" applyNumberFormat="1" applyFont="1" applyFill="1" applyBorder="1" applyAlignment="1">
      <alignment vertical="center" wrapText="1"/>
    </xf>
    <xf numFmtId="3" fontId="147" fillId="59" borderId="31" xfId="0" applyNumberFormat="1" applyFont="1" applyFill="1" applyBorder="1" applyAlignment="1">
      <alignment vertical="center" wrapText="1"/>
    </xf>
    <xf numFmtId="0" fontId="167" fillId="0" borderId="0" xfId="0" applyFont="1" applyAlignment="1">
      <alignment vertical="center" wrapText="1"/>
    </xf>
    <xf numFmtId="3" fontId="168" fillId="0" borderId="0" xfId="0" applyNumberFormat="1" applyFont="1" applyAlignment="1">
      <alignment vertical="center" wrapText="1"/>
    </xf>
    <xf numFmtId="0" fontId="168" fillId="0" borderId="0" xfId="0" applyFont="1" applyAlignment="1">
      <alignment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69" fillId="59" borderId="0" xfId="0" applyFont="1" applyFill="1" applyAlignment="1">
      <alignment/>
    </xf>
    <xf numFmtId="0" fontId="148" fillId="17" borderId="62" xfId="0" applyFont="1" applyFill="1" applyBorder="1" applyAlignment="1">
      <alignment horizontal="center" vertical="top" wrapText="1"/>
    </xf>
    <xf numFmtId="187" fontId="1" fillId="0" borderId="86" xfId="2902" applyFont="1" applyBorder="1" applyAlignment="1" applyProtection="1">
      <alignment horizontal="center" vertical="center" wrapText="1"/>
      <protection/>
    </xf>
    <xf numFmtId="187" fontId="170" fillId="0" borderId="86" xfId="2902" applyFont="1" applyBorder="1" applyAlignment="1" applyProtection="1">
      <alignment horizontal="center" vertical="center" wrapText="1"/>
      <protection/>
    </xf>
    <xf numFmtId="3" fontId="4" fillId="17" borderId="85" xfId="0" applyNumberFormat="1" applyFont="1" applyFill="1" applyBorder="1" applyAlignment="1">
      <alignment horizontal="center" vertical="top" wrapText="1"/>
    </xf>
    <xf numFmtId="3" fontId="1" fillId="17" borderId="108" xfId="0" applyNumberFormat="1" applyFont="1" applyFill="1" applyBorder="1" applyAlignment="1">
      <alignment horizontal="center" vertical="top" wrapText="1"/>
    </xf>
    <xf numFmtId="3" fontId="12" fillId="59" borderId="86" xfId="0" applyNumberFormat="1" applyFont="1" applyFill="1" applyBorder="1" applyAlignment="1">
      <alignment vertical="center" wrapText="1"/>
    </xf>
    <xf numFmtId="3" fontId="5" fillId="59" borderId="86" xfId="0" applyNumberFormat="1" applyFont="1" applyFill="1" applyBorder="1" applyAlignment="1">
      <alignment vertical="center" wrapText="1"/>
    </xf>
    <xf numFmtId="3" fontId="12" fillId="59" borderId="87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3" fontId="12" fillId="59" borderId="85" xfId="0" applyNumberFormat="1" applyFont="1" applyFill="1" applyBorder="1" applyAlignment="1">
      <alignment vertical="center" wrapText="1"/>
    </xf>
    <xf numFmtId="3" fontId="5" fillId="59" borderId="85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5" fillId="0" borderId="85" xfId="0" applyNumberFormat="1" applyFont="1" applyFill="1" applyBorder="1" applyAlignment="1">
      <alignment vertical="center" wrapText="1"/>
    </xf>
    <xf numFmtId="187" fontId="1" fillId="0" borderId="109" xfId="2902" applyFont="1" applyBorder="1" applyAlignment="1" applyProtection="1">
      <alignment horizontal="center" vertical="center" wrapText="1"/>
      <protection/>
    </xf>
    <xf numFmtId="187" fontId="10" fillId="0" borderId="85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85" xfId="2902" applyFont="1" applyBorder="1" applyAlignment="1" applyProtection="1">
      <alignment horizontal="center" vertical="center" wrapText="1"/>
      <protection/>
    </xf>
    <xf numFmtId="187" fontId="1" fillId="0" borderId="89" xfId="2902" applyFont="1" applyBorder="1" applyAlignment="1" applyProtection="1">
      <alignment horizontal="center" vertical="center" wrapText="1"/>
      <protection/>
    </xf>
    <xf numFmtId="187" fontId="1" fillId="0" borderId="87" xfId="2902" applyFont="1" applyBorder="1" applyAlignment="1" applyProtection="1">
      <alignment horizontal="center" vertical="center" wrapText="1"/>
      <protection/>
    </xf>
    <xf numFmtId="187" fontId="10" fillId="0" borderId="87" xfId="2902" applyFont="1" applyBorder="1" applyAlignment="1" applyProtection="1">
      <alignment horizontal="center" vertical="center" wrapText="1"/>
      <protection/>
    </xf>
    <xf numFmtId="3" fontId="4" fillId="17" borderId="87" xfId="0" applyNumberFormat="1" applyFont="1" applyFill="1" applyBorder="1" applyAlignment="1">
      <alignment vertical="center" wrapText="1"/>
    </xf>
    <xf numFmtId="187" fontId="170" fillId="0" borderId="29" xfId="2902" applyFont="1" applyBorder="1" applyAlignment="1" applyProtection="1">
      <alignment horizontal="center" vertical="center" wrapText="1"/>
      <protection/>
    </xf>
    <xf numFmtId="0" fontId="4" fillId="0" borderId="83" xfId="0" applyFont="1" applyBorder="1" applyAlignment="1">
      <alignment vertical="center" wrapText="1"/>
    </xf>
    <xf numFmtId="3" fontId="148" fillId="0" borderId="84" xfId="0" applyNumberFormat="1" applyFont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5" fillId="0" borderId="111" xfId="0" applyNumberFormat="1" applyFont="1" applyBorder="1" applyAlignment="1">
      <alignment/>
    </xf>
    <xf numFmtId="0" fontId="5" fillId="0" borderId="111" xfId="0" applyFont="1" applyBorder="1" applyAlignment="1">
      <alignment/>
    </xf>
    <xf numFmtId="3" fontId="148" fillId="0" borderId="92" xfId="0" applyNumberFormat="1" applyFont="1" applyBorder="1" applyAlignment="1">
      <alignment vertical="center" wrapText="1"/>
    </xf>
    <xf numFmtId="3" fontId="5" fillId="59" borderId="62" xfId="0" applyNumberFormat="1" applyFont="1" applyFill="1" applyBorder="1" applyAlignment="1">
      <alignment horizontal="center"/>
    </xf>
    <xf numFmtId="3" fontId="5" fillId="59" borderId="33" xfId="0" applyNumberFormat="1" applyFont="1" applyFill="1" applyBorder="1" applyAlignment="1">
      <alignment horizontal="center"/>
    </xf>
    <xf numFmtId="3" fontId="5" fillId="59" borderId="29" xfId="0" applyNumberFormat="1" applyFont="1" applyFill="1" applyBorder="1" applyAlignment="1">
      <alignment horizontal="center"/>
    </xf>
    <xf numFmtId="3" fontId="5" fillId="59" borderId="31" xfId="0" applyNumberFormat="1" applyFont="1" applyFill="1" applyBorder="1" applyAlignment="1">
      <alignment horizontal="center"/>
    </xf>
    <xf numFmtId="3" fontId="5" fillId="59" borderId="63" xfId="0" applyNumberFormat="1" applyFont="1" applyFill="1" applyBorder="1" applyAlignment="1">
      <alignment horizontal="center"/>
    </xf>
    <xf numFmtId="0" fontId="140" fillId="0" borderId="0" xfId="0" applyFont="1" applyAlignment="1">
      <alignment horizontal="center"/>
    </xf>
    <xf numFmtId="2" fontId="157" fillId="0" borderId="0" xfId="0" applyNumberFormat="1" applyFont="1" applyAlignment="1">
      <alignment/>
    </xf>
    <xf numFmtId="2" fontId="140" fillId="0" borderId="0" xfId="0" applyNumberFormat="1" applyFont="1" applyAlignment="1">
      <alignment/>
    </xf>
    <xf numFmtId="2" fontId="150" fillId="0" borderId="0" xfId="0" applyNumberFormat="1" applyFont="1" applyAlignment="1">
      <alignment/>
    </xf>
    <xf numFmtId="4" fontId="171" fillId="0" borderId="0" xfId="0" applyNumberFormat="1" applyFont="1" applyAlignment="1">
      <alignment/>
    </xf>
    <xf numFmtId="0" fontId="171" fillId="0" borderId="0" xfId="0" applyFont="1" applyAlignment="1">
      <alignment/>
    </xf>
    <xf numFmtId="2" fontId="17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59" borderId="112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0" fontId="11" fillId="59" borderId="30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0" fontId="5" fillId="0" borderId="76" xfId="0" applyFont="1" applyBorder="1" applyAlignment="1" applyProtection="1">
      <alignment vertical="center" wrapText="1"/>
      <protection locked="0"/>
    </xf>
    <xf numFmtId="187" fontId="1" fillId="0" borderId="62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vertical="center" wrapText="1"/>
      <protection locked="0"/>
    </xf>
    <xf numFmtId="3" fontId="4" fillId="0" borderId="103" xfId="0" applyNumberFormat="1" applyFont="1" applyFill="1" applyBorder="1" applyAlignment="1">
      <alignment vertical="center" wrapText="1"/>
    </xf>
    <xf numFmtId="3" fontId="5" fillId="59" borderId="103" xfId="0" applyNumberFormat="1" applyFont="1" applyFill="1" applyBorder="1" applyAlignment="1">
      <alignment vertical="center" wrapText="1"/>
    </xf>
    <xf numFmtId="3" fontId="172" fillId="0" borderId="105" xfId="0" applyNumberFormat="1" applyFont="1" applyBorder="1" applyAlignment="1">
      <alignment vertical="center" wrapText="1"/>
    </xf>
    <xf numFmtId="3" fontId="149" fillId="11" borderId="105" xfId="0" applyNumberFormat="1" applyFont="1" applyFill="1" applyBorder="1" applyAlignment="1">
      <alignment vertical="center" wrapText="1"/>
    </xf>
    <xf numFmtId="3" fontId="149" fillId="11" borderId="104" xfId="0" applyNumberFormat="1" applyFont="1" applyFill="1" applyBorder="1" applyAlignment="1">
      <alignment vertical="center" wrapText="1"/>
    </xf>
    <xf numFmtId="0" fontId="14" fillId="0" borderId="80" xfId="0" applyFont="1" applyBorder="1" applyAlignment="1" applyProtection="1">
      <alignment vertical="center" wrapText="1"/>
      <protection locked="0"/>
    </xf>
    <xf numFmtId="3" fontId="14" fillId="0" borderId="103" xfId="0" applyNumberFormat="1" applyFont="1" applyFill="1" applyBorder="1" applyAlignment="1">
      <alignment vertical="center" wrapText="1"/>
    </xf>
    <xf numFmtId="3" fontId="3" fillId="59" borderId="113" xfId="0" applyNumberFormat="1" applyFont="1" applyFill="1" applyBorder="1" applyAlignment="1">
      <alignment horizontal="center" vertical="center" wrapText="1"/>
    </xf>
    <xf numFmtId="3" fontId="5" fillId="59" borderId="63" xfId="0" applyNumberFormat="1" applyFont="1" applyFill="1" applyBorder="1" applyAlignment="1">
      <alignment vertical="center" wrapText="1"/>
    </xf>
    <xf numFmtId="3" fontId="12" fillId="59" borderId="69" xfId="0" applyNumberFormat="1" applyFont="1" applyFill="1" applyBorder="1" applyAlignment="1">
      <alignment vertical="center" wrapText="1"/>
    </xf>
    <xf numFmtId="3" fontId="5" fillId="59" borderId="69" xfId="0" applyNumberFormat="1" applyFont="1" applyFill="1" applyBorder="1" applyAlignment="1">
      <alignment vertical="center" wrapText="1"/>
    </xf>
    <xf numFmtId="3" fontId="173" fillId="0" borderId="29" xfId="0" applyNumberFormat="1" applyFont="1" applyBorder="1" applyAlignment="1">
      <alignment horizontal="center"/>
    </xf>
    <xf numFmtId="3" fontId="149" fillId="59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187" fontId="163" fillId="0" borderId="86" xfId="2902" applyFont="1" applyBorder="1" applyAlignment="1" applyProtection="1">
      <alignment horizontal="center" vertical="center" wrapText="1"/>
      <protection/>
    </xf>
    <xf numFmtId="3" fontId="142" fillId="59" borderId="62" xfId="0" applyNumberFormat="1" applyFont="1" applyFill="1" applyBorder="1" applyAlignment="1">
      <alignment vertical="center" wrapText="1"/>
    </xf>
    <xf numFmtId="187" fontId="162" fillId="0" borderId="86" xfId="2902" applyFont="1" applyBorder="1" applyAlignment="1" applyProtection="1">
      <alignment horizontal="center" vertical="center" wrapText="1"/>
      <protection/>
    </xf>
    <xf numFmtId="3" fontId="5" fillId="11" borderId="105" xfId="0" applyNumberFormat="1" applyFont="1" applyFill="1" applyBorder="1" applyAlignment="1">
      <alignment vertical="center" wrapText="1"/>
    </xf>
    <xf numFmtId="3" fontId="5" fillId="11" borderId="104" xfId="0" applyNumberFormat="1" applyFont="1" applyFill="1" applyBorder="1" applyAlignment="1">
      <alignment vertical="center" wrapText="1"/>
    </xf>
    <xf numFmtId="0" fontId="3" fillId="0" borderId="76" xfId="1425" applyFont="1" applyBorder="1" applyAlignment="1">
      <alignment vertical="center" wrapText="1"/>
      <protection/>
    </xf>
    <xf numFmtId="0" fontId="174" fillId="0" borderId="29" xfId="0" applyFont="1" applyBorder="1" applyAlignment="1">
      <alignment vertical="center" wrapText="1"/>
    </xf>
    <xf numFmtId="0" fontId="149" fillId="0" borderId="76" xfId="0" applyFont="1" applyFill="1" applyBorder="1" applyAlignment="1">
      <alignment vertical="center" wrapText="1"/>
    </xf>
    <xf numFmtId="3" fontId="172" fillId="0" borderId="62" xfId="0" applyNumberFormat="1" applyFont="1" applyFill="1" applyBorder="1" applyAlignment="1">
      <alignment vertical="center" wrapText="1"/>
    </xf>
    <xf numFmtId="3" fontId="149" fillId="11" borderId="62" xfId="0" applyNumberFormat="1" applyFont="1" applyFill="1" applyBorder="1" applyAlignment="1">
      <alignment vertical="center" wrapText="1"/>
    </xf>
    <xf numFmtId="3" fontId="149" fillId="11" borderId="33" xfId="0" applyNumberFormat="1" applyFont="1" applyFill="1" applyBorder="1" applyAlignment="1">
      <alignment vertical="center" wrapText="1"/>
    </xf>
    <xf numFmtId="187" fontId="170" fillId="0" borderId="85" xfId="2902" applyFont="1" applyBorder="1" applyAlignment="1" applyProtection="1">
      <alignment horizontal="center" vertical="center" wrapText="1"/>
      <protection/>
    </xf>
    <xf numFmtId="0" fontId="149" fillId="0" borderId="107" xfId="0" applyFont="1" applyFill="1" applyBorder="1" applyAlignment="1">
      <alignment vertical="center" wrapText="1"/>
    </xf>
    <xf numFmtId="187" fontId="170" fillId="0" borderId="109" xfId="2902" applyFont="1" applyBorder="1" applyAlignment="1" applyProtection="1">
      <alignment horizontal="center" vertical="center" wrapText="1"/>
      <protection/>
    </xf>
    <xf numFmtId="0" fontId="172" fillId="0" borderId="80" xfId="0" applyFont="1" applyBorder="1" applyAlignment="1">
      <alignment vertical="center" wrapText="1"/>
    </xf>
    <xf numFmtId="1" fontId="172" fillId="0" borderId="103" xfId="0" applyNumberFormat="1" applyFont="1" applyBorder="1" applyAlignment="1">
      <alignment vertical="center" wrapText="1"/>
    </xf>
    <xf numFmtId="3" fontId="172" fillId="0" borderId="103" xfId="0" applyNumberFormat="1" applyFont="1" applyBorder="1" applyAlignment="1">
      <alignment vertical="center" wrapText="1"/>
    </xf>
    <xf numFmtId="3" fontId="172" fillId="0" borderId="106" xfId="0" applyNumberFormat="1" applyFont="1" applyBorder="1" applyAlignment="1">
      <alignment vertical="center" wrapText="1"/>
    </xf>
    <xf numFmtId="187" fontId="170" fillId="0" borderId="110" xfId="2902" applyFont="1" applyBorder="1" applyAlignment="1" applyProtection="1">
      <alignment horizontal="center" vertical="center" wrapText="1"/>
      <protection/>
    </xf>
    <xf numFmtId="1" fontId="171" fillId="59" borderId="30" xfId="0" applyNumberFormat="1" applyFont="1" applyFill="1" applyBorder="1" applyAlignment="1">
      <alignment horizontal="center" vertical="center" wrapText="1"/>
    </xf>
    <xf numFmtId="0" fontId="171" fillId="59" borderId="30" xfId="0" applyFont="1" applyFill="1" applyBorder="1" applyAlignment="1">
      <alignment horizontal="center" vertical="center" wrapText="1"/>
    </xf>
    <xf numFmtId="0" fontId="175" fillId="59" borderId="62" xfId="0" applyFont="1" applyFill="1" applyBorder="1" applyAlignment="1">
      <alignment horizontal="center" vertical="center" wrapText="1"/>
    </xf>
    <xf numFmtId="0" fontId="171" fillId="11" borderId="29" xfId="0" applyFont="1" applyFill="1" applyBorder="1" applyAlignment="1">
      <alignment horizontal="center" vertical="center" wrapText="1"/>
    </xf>
    <xf numFmtId="0" fontId="171" fillId="11" borderId="28" xfId="0" applyFont="1" applyFill="1" applyBorder="1" applyAlignment="1">
      <alignment vertical="center" wrapText="1"/>
    </xf>
    <xf numFmtId="0" fontId="171" fillId="11" borderId="65" xfId="0" applyFont="1" applyFill="1" applyBorder="1" applyAlignment="1">
      <alignment horizontal="center" vertical="center" wrapText="1"/>
    </xf>
    <xf numFmtId="1" fontId="171" fillId="11" borderId="29" xfId="0" applyNumberFormat="1" applyFont="1" applyFill="1" applyBorder="1" applyAlignment="1">
      <alignment horizontal="center" vertical="center" wrapText="1"/>
    </xf>
    <xf numFmtId="1" fontId="171" fillId="11" borderId="74" xfId="0" applyNumberFormat="1" applyFont="1" applyFill="1" applyBorder="1" applyAlignment="1">
      <alignment horizontal="center" vertical="center" wrapText="1"/>
    </xf>
    <xf numFmtId="3" fontId="155" fillId="11" borderId="74" xfId="0" applyNumberFormat="1" applyFont="1" applyFill="1" applyBorder="1" applyAlignment="1">
      <alignment horizontal="center" vertical="center" wrapText="1"/>
    </xf>
    <xf numFmtId="0" fontId="171" fillId="11" borderId="51" xfId="0" applyFont="1" applyFill="1" applyBorder="1" applyAlignment="1">
      <alignment horizontal="center" vertical="center" wrapText="1"/>
    </xf>
    <xf numFmtId="0" fontId="155" fillId="11" borderId="51" xfId="0" applyFont="1" applyFill="1" applyBorder="1" applyAlignment="1">
      <alignment horizontal="left" vertical="center" wrapText="1"/>
    </xf>
    <xf numFmtId="3" fontId="155" fillId="11" borderId="14" xfId="0" applyNumberFormat="1" applyFont="1" applyFill="1" applyBorder="1" applyAlignment="1">
      <alignment horizontal="center" vertical="center" wrapText="1"/>
    </xf>
    <xf numFmtId="1" fontId="155" fillId="11" borderId="42" xfId="0" applyNumberFormat="1" applyFont="1" applyFill="1" applyBorder="1" applyAlignment="1">
      <alignment horizontal="center" vertical="center" wrapText="1"/>
    </xf>
    <xf numFmtId="0" fontId="155" fillId="11" borderId="59" xfId="0" applyFont="1" applyFill="1" applyBorder="1" applyAlignment="1">
      <alignment horizontal="center" vertical="center" wrapText="1"/>
    </xf>
    <xf numFmtId="0" fontId="148" fillId="17" borderId="114" xfId="0" applyFont="1" applyFill="1" applyBorder="1" applyAlignment="1">
      <alignment horizontal="center" vertical="center" wrapText="1"/>
    </xf>
    <xf numFmtId="0" fontId="148" fillId="17" borderId="115" xfId="0" applyFont="1" applyFill="1" applyBorder="1" applyAlignment="1">
      <alignment horizontal="center" vertical="center" wrapText="1"/>
    </xf>
    <xf numFmtId="0" fontId="148" fillId="17" borderId="116" xfId="0" applyFont="1" applyFill="1" applyBorder="1" applyAlignment="1">
      <alignment horizontal="center" vertical="center" wrapText="1"/>
    </xf>
    <xf numFmtId="0" fontId="4" fillId="17" borderId="117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74" xfId="0" applyFont="1" applyFill="1" applyBorder="1" applyAlignment="1">
      <alignment horizontal="center" vertical="center" wrapText="1"/>
    </xf>
    <xf numFmtId="0" fontId="4" fillId="17" borderId="62" xfId="0" applyFont="1" applyFill="1" applyBorder="1" applyAlignment="1">
      <alignment horizontal="center" vertical="center" wrapText="1"/>
    </xf>
    <xf numFmtId="0" fontId="148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5" fillId="0" borderId="0" xfId="0" applyFont="1" applyAlignment="1">
      <alignment horizontal="center" vertical="center" wrapText="1"/>
    </xf>
    <xf numFmtId="0" fontId="146" fillId="0" borderId="0" xfId="0" applyFont="1" applyAlignment="1">
      <alignment horizontal="center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123" xfId="0" applyFont="1" applyFill="1" applyBorder="1" applyAlignment="1">
      <alignment horizontal="center" vertical="center" wrapText="1"/>
    </xf>
    <xf numFmtId="0" fontId="148" fillId="17" borderId="33" xfId="0" applyFont="1" applyFill="1" applyBorder="1" applyAlignment="1">
      <alignment horizontal="center" vertical="top" wrapText="1"/>
    </xf>
    <xf numFmtId="0" fontId="148" fillId="17" borderId="53" xfId="0" applyFont="1" applyFill="1" applyBorder="1" applyAlignment="1">
      <alignment horizontal="center" vertical="top" wrapText="1"/>
    </xf>
    <xf numFmtId="0" fontId="148" fillId="17" borderId="124" xfId="0" applyFont="1" applyFill="1" applyBorder="1" applyAlignment="1">
      <alignment horizontal="center" vertical="top" wrapText="1"/>
    </xf>
    <xf numFmtId="3" fontId="35" fillId="0" borderId="121" xfId="0" applyNumberFormat="1" applyFont="1" applyBorder="1" applyAlignment="1">
      <alignment horizontal="center" vertical="center" wrapText="1"/>
    </xf>
    <xf numFmtId="3" fontId="35" fillId="0" borderId="12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127" xfId="0" applyFont="1" applyFill="1" applyBorder="1" applyAlignment="1">
      <alignment horizontal="center" vertical="center" wrapText="1"/>
    </xf>
    <xf numFmtId="0" fontId="4" fillId="17" borderId="81" xfId="0" applyFont="1" applyFill="1" applyBorder="1" applyAlignment="1">
      <alignment horizontal="center" vertical="center" wrapText="1"/>
    </xf>
    <xf numFmtId="0" fontId="4" fillId="17" borderId="80" xfId="0" applyFont="1" applyFill="1" applyBorder="1" applyAlignment="1">
      <alignment horizontal="center" vertical="center" wrapText="1"/>
    </xf>
    <xf numFmtId="0" fontId="35" fillId="0" borderId="128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4" fillId="17" borderId="129" xfId="0" applyFont="1" applyFill="1" applyBorder="1" applyAlignment="1">
      <alignment horizontal="center" vertical="center" wrapText="1"/>
    </xf>
    <xf numFmtId="0" fontId="4" fillId="17" borderId="103" xfId="0" applyFont="1" applyFill="1" applyBorder="1" applyAlignment="1">
      <alignment horizontal="center" vertical="center" wrapText="1"/>
    </xf>
    <xf numFmtId="0" fontId="176" fillId="17" borderId="118" xfId="0" applyFont="1" applyFill="1" applyBorder="1" applyAlignment="1">
      <alignment horizontal="center" vertical="center" wrapText="1"/>
    </xf>
    <xf numFmtId="0" fontId="176" fillId="17" borderId="119" xfId="0" applyFont="1" applyFill="1" applyBorder="1" applyAlignment="1">
      <alignment horizontal="center" vertical="center" wrapText="1"/>
    </xf>
    <xf numFmtId="0" fontId="176" fillId="17" borderId="120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76" fillId="17" borderId="121" xfId="0" applyFont="1" applyFill="1" applyBorder="1" applyAlignment="1">
      <alignment horizontal="center" vertical="center" wrapText="1"/>
    </xf>
    <xf numFmtId="0" fontId="176" fillId="17" borderId="125" xfId="0" applyFont="1" applyFill="1" applyBorder="1" applyAlignment="1">
      <alignment horizontal="center" vertical="center" wrapText="1"/>
    </xf>
    <xf numFmtId="0" fontId="176" fillId="17" borderId="126" xfId="0" applyFont="1" applyFill="1" applyBorder="1" applyAlignment="1">
      <alignment horizontal="center" vertical="center" wrapText="1"/>
    </xf>
    <xf numFmtId="0" fontId="148" fillId="17" borderId="82" xfId="0" applyFont="1" applyFill="1" applyBorder="1" applyAlignment="1">
      <alignment horizontal="center" vertical="top" wrapText="1"/>
    </xf>
    <xf numFmtId="0" fontId="148" fillId="17" borderId="80" xfId="0" applyFont="1" applyFill="1" applyBorder="1" applyAlignment="1">
      <alignment horizontal="center" vertical="top" wrapText="1"/>
    </xf>
    <xf numFmtId="0" fontId="148" fillId="17" borderId="29" xfId="0" applyFont="1" applyFill="1" applyBorder="1" applyAlignment="1">
      <alignment horizontal="center" vertical="top" wrapText="1"/>
    </xf>
    <xf numFmtId="0" fontId="148" fillId="17" borderId="105" xfId="0" applyFont="1" applyFill="1" applyBorder="1" applyAlignment="1">
      <alignment horizontal="center" vertical="top" wrapText="1"/>
    </xf>
    <xf numFmtId="3" fontId="148" fillId="17" borderId="86" xfId="0" applyNumberFormat="1" applyFont="1" applyFill="1" applyBorder="1" applyAlignment="1">
      <alignment horizontal="center" vertical="top" wrapText="1"/>
    </xf>
    <xf numFmtId="3" fontId="148" fillId="17" borderId="109" xfId="0" applyNumberFormat="1" applyFont="1" applyFill="1" applyBorder="1" applyAlignment="1">
      <alignment horizontal="center" vertical="top" wrapText="1"/>
    </xf>
    <xf numFmtId="0" fontId="4" fillId="17" borderId="130" xfId="0" applyFont="1" applyFill="1" applyBorder="1" applyAlignment="1">
      <alignment horizontal="center" vertical="center" wrapText="1"/>
    </xf>
    <xf numFmtId="0" fontId="172" fillId="17" borderId="117" xfId="0" applyFont="1" applyFill="1" applyBorder="1" applyAlignment="1">
      <alignment horizontal="center" vertical="center" wrapText="1"/>
    </xf>
    <xf numFmtId="0" fontId="172" fillId="17" borderId="115" xfId="0" applyFont="1" applyFill="1" applyBorder="1" applyAlignment="1">
      <alignment horizontal="center" vertical="center" wrapText="1"/>
    </xf>
    <xf numFmtId="0" fontId="172" fillId="17" borderId="116" xfId="0" applyFont="1" applyFill="1" applyBorder="1" applyAlignment="1">
      <alignment horizontal="center" vertical="center" wrapText="1"/>
    </xf>
    <xf numFmtId="0" fontId="148" fillId="17" borderId="74" xfId="0" applyFont="1" applyFill="1" applyBorder="1" applyAlignment="1">
      <alignment horizontal="center" vertical="top" wrapText="1"/>
    </xf>
    <xf numFmtId="0" fontId="148" fillId="17" borderId="103" xfId="0" applyFont="1" applyFill="1" applyBorder="1" applyAlignment="1">
      <alignment horizontal="center" vertical="top" wrapText="1"/>
    </xf>
    <xf numFmtId="0" fontId="148" fillId="17" borderId="62" xfId="0" applyFont="1" applyFill="1" applyBorder="1" applyAlignment="1">
      <alignment horizontal="center" vertical="top" wrapText="1"/>
    </xf>
    <xf numFmtId="3" fontId="148" fillId="17" borderId="85" xfId="0" applyNumberFormat="1" applyFont="1" applyFill="1" applyBorder="1" applyAlignment="1">
      <alignment horizontal="center" vertical="top" wrapText="1"/>
    </xf>
    <xf numFmtId="0" fontId="148" fillId="17" borderId="63" xfId="0" applyFont="1" applyFill="1" applyBorder="1" applyAlignment="1">
      <alignment horizontal="center" vertical="top" wrapText="1"/>
    </xf>
    <xf numFmtId="0" fontId="4" fillId="17" borderId="131" xfId="0" applyFont="1" applyFill="1" applyBorder="1" applyAlignment="1">
      <alignment horizontal="center" vertical="center" wrapText="1"/>
    </xf>
    <xf numFmtId="3" fontId="4" fillId="17" borderId="85" xfId="0" applyNumberFormat="1" applyFont="1" applyFill="1" applyBorder="1" applyAlignment="1">
      <alignment horizontal="center" vertical="top" wrapText="1"/>
    </xf>
    <xf numFmtId="3" fontId="4" fillId="17" borderId="109" xfId="0" applyNumberFormat="1" applyFont="1" applyFill="1" applyBorder="1" applyAlignment="1">
      <alignment horizontal="center" vertical="top" wrapText="1"/>
    </xf>
    <xf numFmtId="0" fontId="2" fillId="17" borderId="29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2" fillId="17" borderId="62" xfId="142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45" fillId="0" borderId="0" xfId="1425" applyFont="1" applyAlignment="1">
      <alignment horizontal="center" vertical="center" wrapText="1"/>
      <protection/>
    </xf>
    <xf numFmtId="0" fontId="2" fillId="17" borderId="74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3" fillId="17" borderId="74" xfId="1425" applyFont="1" applyFill="1" applyBorder="1" applyAlignment="1">
      <alignment horizontal="center" vertical="center" wrapText="1"/>
      <protection/>
    </xf>
    <xf numFmtId="0" fontId="3" fillId="17" borderId="62" xfId="1425" applyFont="1" applyFill="1" applyBorder="1" applyAlignment="1">
      <alignment horizontal="center" vertical="center" wrapText="1"/>
      <protection/>
    </xf>
    <xf numFmtId="0" fontId="148" fillId="57" borderId="132" xfId="0" applyFont="1" applyFill="1" applyBorder="1" applyAlignment="1">
      <alignment horizontal="center" vertical="center" wrapText="1"/>
    </xf>
    <xf numFmtId="0" fontId="148" fillId="57" borderId="133" xfId="0" applyFont="1" applyFill="1" applyBorder="1" applyAlignment="1">
      <alignment horizontal="center" vertical="center" wrapText="1"/>
    </xf>
    <xf numFmtId="0" fontId="145" fillId="0" borderId="0" xfId="0" applyFont="1" applyAlignment="1">
      <alignment horizontal="center"/>
    </xf>
    <xf numFmtId="0" fontId="146" fillId="57" borderId="127" xfId="0" applyFont="1" applyFill="1" applyBorder="1" applyAlignment="1">
      <alignment horizontal="center" vertical="center" wrapText="1"/>
    </xf>
    <xf numFmtId="0" fontId="146" fillId="57" borderId="80" xfId="0" applyFont="1" applyFill="1" applyBorder="1" applyAlignment="1">
      <alignment horizontal="center" vertical="center" wrapText="1"/>
    </xf>
    <xf numFmtId="0" fontId="152" fillId="57" borderId="130" xfId="0" applyFont="1" applyFill="1" applyBorder="1" applyAlignment="1">
      <alignment horizontal="center" vertical="center" wrapText="1"/>
    </xf>
    <xf numFmtId="0" fontId="152" fillId="57" borderId="103" xfId="0" applyFont="1" applyFill="1" applyBorder="1" applyAlignment="1">
      <alignment horizontal="center" vertical="center" wrapText="1"/>
    </xf>
    <xf numFmtId="0" fontId="152" fillId="57" borderId="114" xfId="0" applyFont="1" applyFill="1" applyBorder="1" applyAlignment="1">
      <alignment horizontal="center" vertical="center" wrapText="1"/>
    </xf>
    <xf numFmtId="0" fontId="152" fillId="57" borderId="115" xfId="0" applyFont="1" applyFill="1" applyBorder="1" applyAlignment="1">
      <alignment horizontal="center" vertical="center" wrapText="1"/>
    </xf>
    <xf numFmtId="0" fontId="152" fillId="57" borderId="116" xfId="0" applyFont="1" applyFill="1" applyBorder="1" applyAlignment="1">
      <alignment horizontal="center" vertical="center" wrapText="1"/>
    </xf>
    <xf numFmtId="0" fontId="15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17" borderId="134" xfId="0" applyFont="1" applyFill="1" applyBorder="1" applyAlignment="1">
      <alignment horizontal="center" vertical="center" wrapText="1"/>
    </xf>
    <xf numFmtId="0" fontId="3" fillId="17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42" fillId="11" borderId="37" xfId="0" applyNumberFormat="1" applyFont="1" applyFill="1" applyBorder="1" applyAlignment="1">
      <alignment horizontal="center" vertical="center" wrapText="1"/>
    </xf>
    <xf numFmtId="1" fontId="142" fillId="11" borderId="67" xfId="0" applyNumberFormat="1" applyFont="1" applyFill="1" applyBorder="1" applyAlignment="1">
      <alignment horizontal="center" vertical="center" wrapText="1"/>
    </xf>
    <xf numFmtId="1" fontId="142" fillId="11" borderId="32" xfId="0" applyNumberFormat="1" applyFont="1" applyFill="1" applyBorder="1" applyAlignment="1">
      <alignment horizontal="center" vertical="center" wrapText="1"/>
    </xf>
    <xf numFmtId="0" fontId="157" fillId="59" borderId="0" xfId="0" applyFont="1" applyFill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7" fillId="11" borderId="0" xfId="0" applyFont="1" applyFill="1" applyAlignment="1">
      <alignment horizontal="center" vertical="center" wrapText="1"/>
    </xf>
    <xf numFmtId="0" fontId="3" fillId="17" borderId="66" xfId="0" applyFont="1" applyFill="1" applyBorder="1" applyAlignment="1">
      <alignment horizontal="center" vertical="top" wrapText="1"/>
    </xf>
    <xf numFmtId="0" fontId="3" fillId="17" borderId="13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4" fillId="17" borderId="137" xfId="0" applyFont="1" applyFill="1" applyBorder="1" applyAlignment="1">
      <alignment horizontal="center" vertical="top" wrapText="1"/>
    </xf>
    <xf numFmtId="0" fontId="3" fillId="17" borderId="64" xfId="0" applyFont="1" applyFill="1" applyBorder="1" applyAlignment="1">
      <alignment horizontal="center" vertical="top" wrapText="1"/>
    </xf>
    <xf numFmtId="0" fontId="3" fillId="17" borderId="113" xfId="0" applyFont="1" applyFill="1" applyBorder="1" applyAlignment="1">
      <alignment horizontal="center" vertical="top" wrapText="1"/>
    </xf>
    <xf numFmtId="0" fontId="155" fillId="17" borderId="134" xfId="0" applyFont="1" applyFill="1" applyBorder="1" applyAlignment="1">
      <alignment horizontal="center" vertical="center" wrapText="1"/>
    </xf>
    <xf numFmtId="0" fontId="155" fillId="17" borderId="5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68" fillId="0" borderId="0" xfId="0" applyFont="1" applyBorder="1" applyAlignment="1">
      <alignment horizontal="center"/>
    </xf>
    <xf numFmtId="0" fontId="3" fillId="17" borderId="63" xfId="0" applyFont="1" applyFill="1" applyBorder="1" applyAlignment="1">
      <alignment horizontal="center" vertical="center" wrapText="1"/>
    </xf>
    <xf numFmtId="0" fontId="3" fillId="17" borderId="74" xfId="0" applyFont="1" applyFill="1" applyBorder="1" applyAlignment="1">
      <alignment horizontal="center" vertical="center" wrapText="1"/>
    </xf>
    <xf numFmtId="0" fontId="3" fillId="17" borderId="62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55" fillId="17" borderId="29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2" fillId="17" borderId="62" xfId="855" applyFont="1" applyFill="1" applyBorder="1" applyAlignment="1" applyProtection="1">
      <alignment horizontal="center" vertical="center" wrapText="1"/>
      <protection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4" xfId="855" applyFont="1" applyFill="1" applyBorder="1" applyAlignment="1" applyProtection="1">
      <alignment horizontal="center" vertical="center" wrapText="1"/>
      <protection/>
    </xf>
    <xf numFmtId="0" fontId="2" fillId="17" borderId="65" xfId="855" applyFont="1" applyFill="1" applyBorder="1" applyAlignment="1" applyProtection="1">
      <alignment horizontal="center" vertical="center" wrapText="1"/>
      <protection/>
    </xf>
    <xf numFmtId="0" fontId="2" fillId="17" borderId="63" xfId="0" applyFont="1" applyFill="1" applyBorder="1" applyAlignment="1">
      <alignment horizontal="center" vertical="center" wrapText="1"/>
    </xf>
    <xf numFmtId="0" fontId="2" fillId="17" borderId="74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177" fillId="0" borderId="0" xfId="0" applyFont="1" applyAlignment="1">
      <alignment horizontal="center" vertical="center" wrapText="1"/>
    </xf>
    <xf numFmtId="0" fontId="150" fillId="0" borderId="63" xfId="2078" applyFont="1" applyBorder="1" applyAlignment="1">
      <alignment horizontal="center" vertical="center" wrapText="1"/>
      <protection/>
    </xf>
    <xf numFmtId="0" fontId="150" fillId="0" borderId="62" xfId="2078" applyFont="1" applyBorder="1" applyAlignment="1">
      <alignment horizontal="center" vertical="center" wrapText="1"/>
      <protection/>
    </xf>
    <xf numFmtId="0" fontId="150" fillId="60" borderId="63" xfId="2078" applyFont="1" applyFill="1" applyBorder="1" applyAlignment="1">
      <alignment horizontal="center" vertical="center" wrapText="1"/>
      <protection/>
    </xf>
    <xf numFmtId="0" fontId="150" fillId="60" borderId="62" xfId="2078" applyFont="1" applyFill="1" applyBorder="1" applyAlignment="1">
      <alignment horizontal="center" vertical="center" wrapText="1"/>
      <protection/>
    </xf>
    <xf numFmtId="0" fontId="153" fillId="0" borderId="63" xfId="2078" applyFont="1" applyBorder="1" applyAlignment="1">
      <alignment horizontal="center" vertical="center" wrapText="1"/>
      <protection/>
    </xf>
    <xf numFmtId="0" fontId="153" fillId="0" borderId="74" xfId="2078" applyFont="1" applyBorder="1" applyAlignment="1">
      <alignment horizontal="center" vertical="center" wrapText="1"/>
      <protection/>
    </xf>
    <xf numFmtId="0" fontId="168" fillId="15" borderId="63" xfId="2078" applyFont="1" applyFill="1" applyBorder="1" applyAlignment="1">
      <alignment horizontal="center" vertical="center" wrapText="1"/>
      <protection/>
    </xf>
    <xf numFmtId="0" fontId="168" fillId="15" borderId="74" xfId="2078" applyFont="1" applyFill="1" applyBorder="1" applyAlignment="1">
      <alignment horizontal="center" vertical="center" wrapText="1"/>
      <protection/>
    </xf>
    <xf numFmtId="0" fontId="10" fillId="0" borderId="63" xfId="2078" applyFont="1" applyBorder="1" applyAlignment="1">
      <alignment horizontal="center" vertical="center" wrapText="1"/>
      <protection/>
    </xf>
    <xf numFmtId="0" fontId="10" fillId="0" borderId="74" xfId="2078" applyFont="1" applyBorder="1" applyAlignment="1">
      <alignment horizontal="center" vertical="center" wrapText="1"/>
      <protection/>
    </xf>
    <xf numFmtId="2" fontId="152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6" fillId="0" borderId="0" xfId="919" applyFont="1" applyAlignment="1">
      <alignment horizontal="center" vertical="center" wrapText="1"/>
      <protection/>
    </xf>
    <xf numFmtId="2" fontId="154" fillId="59" borderId="31" xfId="1507" applyNumberFormat="1" applyFont="1" applyFill="1" applyBorder="1" applyAlignment="1">
      <alignment horizontal="center" vertical="center" wrapText="1"/>
      <protection/>
    </xf>
    <xf numFmtId="2" fontId="154" fillId="59" borderId="94" xfId="1507" applyNumberFormat="1" applyFont="1" applyFill="1" applyBorder="1" applyAlignment="1">
      <alignment horizontal="center" vertical="center" wrapText="1"/>
      <protection/>
    </xf>
    <xf numFmtId="2" fontId="154" fillId="59" borderId="65" xfId="1507" applyNumberFormat="1" applyFont="1" applyFill="1" applyBorder="1" applyAlignment="1">
      <alignment horizontal="center" vertical="center" wrapText="1"/>
      <protection/>
    </xf>
    <xf numFmtId="2" fontId="178" fillId="59" borderId="63" xfId="1507" applyNumberFormat="1" applyFont="1" applyFill="1" applyBorder="1" applyAlignment="1">
      <alignment horizontal="center" vertical="center" wrapText="1"/>
      <protection/>
    </xf>
    <xf numFmtId="2" fontId="178" fillId="59" borderId="62" xfId="1507" applyNumberFormat="1" applyFont="1" applyFill="1" applyBorder="1" applyAlignment="1">
      <alignment horizontal="center" vertical="center" wrapText="1"/>
      <protection/>
    </xf>
    <xf numFmtId="3" fontId="12" fillId="59" borderId="103" xfId="0" applyNumberFormat="1" applyFont="1" applyFill="1" applyBorder="1" applyAlignment="1">
      <alignment vertical="center" wrapText="1"/>
    </xf>
    <xf numFmtId="3" fontId="12" fillId="59" borderId="110" xfId="0" applyNumberFormat="1" applyFont="1" applyFill="1" applyBorder="1" applyAlignment="1">
      <alignment vertical="center" wrapText="1"/>
    </xf>
    <xf numFmtId="0" fontId="14" fillId="0" borderId="77" xfId="0" applyFont="1" applyBorder="1" applyAlignment="1" applyProtection="1">
      <alignment vertical="center" wrapText="1"/>
      <protection locked="0"/>
    </xf>
    <xf numFmtId="3" fontId="14" fillId="0" borderId="29" xfId="0" applyNumberFormat="1" applyFont="1" applyFill="1" applyBorder="1" applyAlignment="1">
      <alignment vertical="center"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79"/>
  <sheetViews>
    <sheetView view="pageBreakPreview" zoomScale="90" zoomScaleSheetLayoutView="90" zoomScalePageLayoutView="0" workbookViewId="0" topLeftCell="A395">
      <selection activeCell="J403" sqref="J403"/>
    </sheetView>
  </sheetViews>
  <sheetFormatPr defaultColWidth="9.140625" defaultRowHeight="12.75"/>
  <cols>
    <col min="1" max="1" width="49.00390625" style="226" customWidth="1"/>
    <col min="2" max="2" width="12.57421875" style="226" customWidth="1"/>
    <col min="3" max="3" width="18.00390625" style="299" customWidth="1"/>
    <col min="4" max="4" width="14.00390625" style="299" customWidth="1"/>
    <col min="5" max="5" width="13.7109375" style="300" customWidth="1"/>
    <col min="6" max="6" width="13.7109375" style="227" customWidth="1"/>
    <col min="7" max="7" width="12.28125" style="226" bestFit="1" customWidth="1"/>
    <col min="8" max="8" width="18.00390625" style="226" customWidth="1"/>
    <col min="9" max="9" width="15.8515625" style="226" customWidth="1"/>
    <col min="10" max="10" width="15.421875" style="226" customWidth="1"/>
    <col min="11" max="12" width="9.140625" style="226" customWidth="1"/>
    <col min="13" max="13" width="13.28125" style="226" customWidth="1"/>
    <col min="14" max="14" width="18.140625" style="226" customWidth="1"/>
    <col min="15" max="15" width="13.8515625" style="226" customWidth="1"/>
    <col min="16" max="16" width="16.8515625" style="226" customWidth="1"/>
    <col min="17" max="22" width="9.140625" style="226" customWidth="1"/>
    <col min="23" max="23" width="11.421875" style="226" customWidth="1"/>
    <col min="24" max="16384" width="9.140625" style="226" customWidth="1"/>
  </cols>
  <sheetData>
    <row r="1" spans="2:8" ht="21.75" customHeight="1">
      <c r="B1" s="517"/>
      <c r="C1" s="517"/>
      <c r="D1" s="660" t="s">
        <v>109</v>
      </c>
      <c r="E1" s="660"/>
      <c r="F1" s="660"/>
      <c r="H1" s="226">
        <v>1</v>
      </c>
    </row>
    <row r="2" spans="2:6" ht="21.75" customHeight="1">
      <c r="B2" s="517"/>
      <c r="C2" s="517"/>
      <c r="D2" s="660" t="s">
        <v>110</v>
      </c>
      <c r="E2" s="660"/>
      <c r="F2" s="660"/>
    </row>
    <row r="3" spans="2:6" ht="21.75" customHeight="1">
      <c r="B3" s="517"/>
      <c r="C3" s="517"/>
      <c r="D3" s="660" t="s">
        <v>522</v>
      </c>
      <c r="E3" s="660"/>
      <c r="F3" s="660"/>
    </row>
    <row r="4" spans="3:6" ht="21" customHeight="1">
      <c r="C4" s="663"/>
      <c r="D4" s="663"/>
      <c r="E4" s="663"/>
      <c r="F4" s="226"/>
    </row>
    <row r="5" spans="1:6" ht="36" customHeight="1">
      <c r="A5" s="661" t="s">
        <v>349</v>
      </c>
      <c r="B5" s="661"/>
      <c r="C5" s="661"/>
      <c r="D5" s="661"/>
      <c r="E5" s="661"/>
      <c r="F5" s="661"/>
    </row>
    <row r="6" spans="1:6" ht="23.25" customHeight="1">
      <c r="A6" s="391"/>
      <c r="B6" s="391"/>
      <c r="C6" s="391"/>
      <c r="D6" s="391"/>
      <c r="E6" s="437"/>
      <c r="F6" s="437" t="s">
        <v>291</v>
      </c>
    </row>
    <row r="7" spans="1:6" ht="16.5" customHeight="1">
      <c r="A7" s="662" t="s">
        <v>293</v>
      </c>
      <c r="B7" s="662"/>
      <c r="C7" s="662"/>
      <c r="D7" s="662"/>
      <c r="E7" s="662"/>
      <c r="F7" s="662"/>
    </row>
    <row r="8" spans="1:6" ht="12" customHeight="1" thickBot="1">
      <c r="A8" s="675"/>
      <c r="B8" s="675"/>
      <c r="C8" s="675"/>
      <c r="D8" s="675"/>
      <c r="E8" s="675"/>
      <c r="F8" s="226"/>
    </row>
    <row r="9" spans="1:6" ht="20.25" customHeight="1">
      <c r="A9" s="667" t="s">
        <v>4</v>
      </c>
      <c r="B9" s="652" t="s">
        <v>195</v>
      </c>
      <c r="C9" s="653"/>
      <c r="D9" s="653"/>
      <c r="E9" s="653"/>
      <c r="F9" s="654"/>
    </row>
    <row r="10" spans="1:6" ht="18" customHeight="1">
      <c r="A10" s="668"/>
      <c r="B10" s="658" t="s">
        <v>480</v>
      </c>
      <c r="C10" s="670" t="s">
        <v>206</v>
      </c>
      <c r="D10" s="671"/>
      <c r="E10" s="671"/>
      <c r="F10" s="672"/>
    </row>
    <row r="11" spans="1:6" ht="42.75" customHeight="1">
      <c r="A11" s="668"/>
      <c r="B11" s="659"/>
      <c r="C11" s="555" t="s">
        <v>196</v>
      </c>
      <c r="D11" s="555" t="s">
        <v>44</v>
      </c>
      <c r="E11" s="536" t="s">
        <v>45</v>
      </c>
      <c r="F11" s="558" t="s">
        <v>477</v>
      </c>
    </row>
    <row r="12" spans="1:6" ht="38.25" customHeight="1" thickBot="1">
      <c r="A12" s="669"/>
      <c r="B12" s="528" t="s">
        <v>478</v>
      </c>
      <c r="C12" s="528" t="s">
        <v>482</v>
      </c>
      <c r="D12" s="525" t="s">
        <v>478</v>
      </c>
      <c r="E12" s="526" t="s">
        <v>479</v>
      </c>
      <c r="F12" s="559" t="s">
        <v>483</v>
      </c>
    </row>
    <row r="13" spans="1:6" ht="21" customHeight="1">
      <c r="A13" s="655" t="s">
        <v>245</v>
      </c>
      <c r="B13" s="656"/>
      <c r="C13" s="656"/>
      <c r="D13" s="656"/>
      <c r="E13" s="656"/>
      <c r="F13" s="657"/>
    </row>
    <row r="14" spans="1:23" ht="16.5" customHeight="1">
      <c r="A14" s="524" t="s">
        <v>68</v>
      </c>
      <c r="B14" s="239">
        <f>ROUND(C14+D14+E14*2.9+F14*$H$1,0)</f>
        <v>22582</v>
      </c>
      <c r="C14" s="359">
        <v>3896</v>
      </c>
      <c r="D14" s="349">
        <v>869</v>
      </c>
      <c r="E14" s="349">
        <f>5912</f>
        <v>5912</v>
      </c>
      <c r="F14" s="560">
        <f>'1.2. Диспансерное наблюдение'!$E$9-'1.2. Диспансерное наблюдение'!F9</f>
        <v>672</v>
      </c>
      <c r="G14" s="227"/>
      <c r="H14" s="227"/>
      <c r="I14" s="227"/>
      <c r="J14" s="227"/>
      <c r="K14" s="227"/>
      <c r="P14" s="227"/>
      <c r="Q14" s="227"/>
      <c r="R14" s="227"/>
      <c r="S14" s="227"/>
      <c r="T14" s="227"/>
      <c r="U14" s="227"/>
      <c r="V14" s="227"/>
      <c r="W14" s="227"/>
    </row>
    <row r="15" spans="1:23" ht="16.5" customHeight="1">
      <c r="A15" s="516" t="s">
        <v>46</v>
      </c>
      <c r="B15" s="239">
        <f>ROUND(C15+D15+E15*2.9+F15*$H$1,0)-1</f>
        <v>9508</v>
      </c>
      <c r="C15" s="348">
        <f>3096-674</f>
        <v>2422</v>
      </c>
      <c r="D15" s="349">
        <f>484-111</f>
        <v>373</v>
      </c>
      <c r="E15" s="349">
        <f>3072-757</f>
        <v>2315</v>
      </c>
      <c r="F15" s="556">
        <v>0</v>
      </c>
      <c r="G15" s="227"/>
      <c r="H15" s="227"/>
      <c r="I15" s="227"/>
      <c r="J15" s="227"/>
      <c r="K15" s="227"/>
      <c r="P15" s="227"/>
      <c r="Q15" s="227"/>
      <c r="R15" s="227"/>
      <c r="S15" s="227"/>
      <c r="T15" s="227"/>
      <c r="U15" s="227"/>
      <c r="V15" s="227"/>
      <c r="W15" s="227"/>
    </row>
    <row r="16" spans="1:23" ht="16.5" customHeight="1">
      <c r="A16" s="231" t="s">
        <v>9</v>
      </c>
      <c r="B16" s="239">
        <f aca="true" t="shared" si="0" ref="B16:B47">ROUND(C16+D16+E16*2.9+F16*$H$1,0)</f>
        <v>3143</v>
      </c>
      <c r="C16" s="348">
        <f>490+550</f>
        <v>1040</v>
      </c>
      <c r="D16" s="448">
        <v>0</v>
      </c>
      <c r="E16" s="448">
        <f>512+213</f>
        <v>725</v>
      </c>
      <c r="F16" s="556">
        <v>0</v>
      </c>
      <c r="G16" s="227"/>
      <c r="H16" s="227"/>
      <c r="I16" s="227"/>
      <c r="J16" s="227"/>
      <c r="K16" s="227"/>
      <c r="P16" s="227"/>
      <c r="Q16" s="227"/>
      <c r="R16" s="227"/>
      <c r="S16" s="227"/>
      <c r="T16" s="227"/>
      <c r="U16" s="227"/>
      <c r="V16" s="227"/>
      <c r="W16" s="227"/>
    </row>
    <row r="17" spans="1:23" ht="16.5" customHeight="1">
      <c r="A17" s="231" t="s">
        <v>11</v>
      </c>
      <c r="B17" s="228">
        <f t="shared" si="0"/>
        <v>989</v>
      </c>
      <c r="C17" s="348">
        <v>600</v>
      </c>
      <c r="D17" s="448">
        <v>0</v>
      </c>
      <c r="E17" s="448">
        <v>134</v>
      </c>
      <c r="F17" s="556">
        <v>0</v>
      </c>
      <c r="G17" s="227"/>
      <c r="H17" s="227"/>
      <c r="I17" s="227"/>
      <c r="J17" s="227"/>
      <c r="K17" s="227"/>
      <c r="P17" s="227"/>
      <c r="Q17" s="227"/>
      <c r="R17" s="227"/>
      <c r="S17" s="227"/>
      <c r="T17" s="227"/>
      <c r="U17" s="227"/>
      <c r="V17" s="227"/>
      <c r="W17" s="227"/>
    </row>
    <row r="18" spans="1:23" ht="16.5" customHeight="1">
      <c r="A18" s="231" t="s">
        <v>13</v>
      </c>
      <c r="B18" s="228">
        <f t="shared" si="0"/>
        <v>12747</v>
      </c>
      <c r="C18" s="348">
        <f>2228+838</f>
        <v>3066</v>
      </c>
      <c r="D18" s="448">
        <f>369+132</f>
        <v>501</v>
      </c>
      <c r="E18" s="448">
        <f>2339+715</f>
        <v>3054</v>
      </c>
      <c r="F18" s="560">
        <f>'1.2. Диспансерное наблюдение'!$E$10-'1.2. Диспансерное наблюдение'!$G$10</f>
        <v>323</v>
      </c>
      <c r="G18" s="227"/>
      <c r="H18" s="227"/>
      <c r="I18" s="227"/>
      <c r="J18" s="227"/>
      <c r="K18" s="227"/>
      <c r="P18" s="227"/>
      <c r="Q18" s="227"/>
      <c r="R18" s="227"/>
      <c r="S18" s="227"/>
      <c r="T18" s="227"/>
      <c r="U18" s="227"/>
      <c r="V18" s="227"/>
      <c r="W18" s="227"/>
    </row>
    <row r="19" spans="1:23" ht="16.5" customHeight="1">
      <c r="A19" s="231" t="s">
        <v>481</v>
      </c>
      <c r="B19" s="239">
        <f t="shared" si="0"/>
        <v>4970</v>
      </c>
      <c r="C19" s="348">
        <f>615+696</f>
        <v>1311</v>
      </c>
      <c r="D19" s="448">
        <f>81+113</f>
        <v>194</v>
      </c>
      <c r="E19" s="448">
        <f>507+600</f>
        <v>1107</v>
      </c>
      <c r="F19" s="561">
        <f>'1.2. Диспансерное наблюдение'!$E$11</f>
        <v>255</v>
      </c>
      <c r="G19" s="227"/>
      <c r="H19" s="227"/>
      <c r="I19" s="227"/>
      <c r="J19" s="227"/>
      <c r="K19" s="227"/>
      <c r="P19" s="227"/>
      <c r="Q19" s="227"/>
      <c r="R19" s="227"/>
      <c r="S19" s="227"/>
      <c r="T19" s="227"/>
      <c r="U19" s="227"/>
      <c r="V19" s="227"/>
      <c r="W19" s="227"/>
    </row>
    <row r="20" spans="1:23" ht="16.5" customHeight="1">
      <c r="A20" s="231" t="s">
        <v>64</v>
      </c>
      <c r="B20" s="239">
        <f t="shared" si="0"/>
        <v>5141</v>
      </c>
      <c r="C20" s="348">
        <f>725+320</f>
        <v>1045</v>
      </c>
      <c r="D20" s="349">
        <f>34+66+226</f>
        <v>326</v>
      </c>
      <c r="E20" s="349">
        <f>853+413</f>
        <v>1266</v>
      </c>
      <c r="F20" s="560">
        <f>'1.2. Диспансерное наблюдение'!$E$12</f>
        <v>99</v>
      </c>
      <c r="G20" s="227"/>
      <c r="H20" s="227"/>
      <c r="I20" s="227"/>
      <c r="J20" s="227"/>
      <c r="K20" s="227"/>
      <c r="P20" s="227"/>
      <c r="Q20" s="227"/>
      <c r="R20" s="227"/>
      <c r="S20" s="227"/>
      <c r="T20" s="227"/>
      <c r="U20" s="227"/>
      <c r="V20" s="227"/>
      <c r="W20" s="227"/>
    </row>
    <row r="21" spans="1:11" ht="15">
      <c r="A21" s="231" t="s">
        <v>3</v>
      </c>
      <c r="B21" s="228">
        <f t="shared" si="0"/>
        <v>17730</v>
      </c>
      <c r="C21" s="348">
        <f>2766+824</f>
        <v>3590</v>
      </c>
      <c r="D21" s="448">
        <f>554+136+113</f>
        <v>803</v>
      </c>
      <c r="E21" s="448">
        <f>3515+687</f>
        <v>4202</v>
      </c>
      <c r="F21" s="561">
        <f>'1.2. Диспансерное наблюдение'!$E$13</f>
        <v>1151</v>
      </c>
      <c r="G21" s="227"/>
      <c r="H21" s="227"/>
      <c r="I21" s="227"/>
      <c r="J21" s="227"/>
      <c r="K21" s="227"/>
    </row>
    <row r="22" spans="1:11" ht="15">
      <c r="A22" s="232" t="s">
        <v>12</v>
      </c>
      <c r="B22" s="228">
        <f t="shared" si="0"/>
        <v>2813</v>
      </c>
      <c r="C22" s="348">
        <f>303+380</f>
        <v>683</v>
      </c>
      <c r="D22" s="448">
        <f>4+371</f>
        <v>375</v>
      </c>
      <c r="E22" s="448">
        <f>316+289</f>
        <v>605</v>
      </c>
      <c r="F22" s="556">
        <v>0</v>
      </c>
      <c r="G22" s="227"/>
      <c r="H22" s="227"/>
      <c r="I22" s="227"/>
      <c r="J22" s="227"/>
      <c r="K22" s="227"/>
    </row>
    <row r="23" spans="1:23" ht="16.5" customHeight="1">
      <c r="A23" s="231" t="s">
        <v>8</v>
      </c>
      <c r="B23" s="239">
        <f t="shared" si="0"/>
        <v>462</v>
      </c>
      <c r="C23" s="348">
        <v>215</v>
      </c>
      <c r="D23" s="349">
        <v>0</v>
      </c>
      <c r="E23" s="349">
        <v>85</v>
      </c>
      <c r="F23" s="556">
        <v>0</v>
      </c>
      <c r="G23" s="227"/>
      <c r="H23" s="227"/>
      <c r="I23" s="227"/>
      <c r="J23" s="227"/>
      <c r="K23" s="227"/>
      <c r="P23" s="227"/>
      <c r="Q23" s="227"/>
      <c r="R23" s="227"/>
      <c r="S23" s="227"/>
      <c r="T23" s="227"/>
      <c r="U23" s="227"/>
      <c r="V23" s="227"/>
      <c r="W23" s="227"/>
    </row>
    <row r="24" spans="1:23" ht="15.75" customHeight="1">
      <c r="A24" s="232" t="s">
        <v>6</v>
      </c>
      <c r="B24" s="228">
        <f t="shared" si="0"/>
        <v>4558</v>
      </c>
      <c r="C24" s="348">
        <f>300+339</f>
        <v>639</v>
      </c>
      <c r="D24" s="448">
        <f>135+52</f>
        <v>187</v>
      </c>
      <c r="E24" s="448">
        <f>807+232</f>
        <v>1039</v>
      </c>
      <c r="F24" s="560">
        <f>'1.2. Диспансерное наблюдение'!$E$14-'1.2. Диспансерное наблюдение'!$F$14</f>
        <v>719</v>
      </c>
      <c r="G24" s="227"/>
      <c r="H24" s="227"/>
      <c r="I24" s="227"/>
      <c r="J24" s="227"/>
      <c r="K24" s="227"/>
      <c r="P24" s="227"/>
      <c r="Q24" s="227"/>
      <c r="R24" s="227"/>
      <c r="S24" s="227"/>
      <c r="T24" s="227"/>
      <c r="U24" s="227"/>
      <c r="V24" s="227"/>
      <c r="W24" s="227"/>
    </row>
    <row r="25" spans="1:23" ht="15.75" customHeight="1">
      <c r="A25" s="231" t="s">
        <v>76</v>
      </c>
      <c r="B25" s="228">
        <f t="shared" si="0"/>
        <v>11101</v>
      </c>
      <c r="C25" s="348">
        <f>2018+800</f>
        <v>2818</v>
      </c>
      <c r="D25" s="448">
        <f>310+165-12</f>
        <v>463</v>
      </c>
      <c r="E25" s="448">
        <f>1814+804</f>
        <v>2618</v>
      </c>
      <c r="F25" s="560">
        <f>'1.2. Диспансерное наблюдение'!$E$15</f>
        <v>228</v>
      </c>
      <c r="G25" s="227"/>
      <c r="H25" s="227"/>
      <c r="I25" s="227"/>
      <c r="J25" s="227"/>
      <c r="K25" s="227"/>
      <c r="P25" s="227"/>
      <c r="Q25" s="227"/>
      <c r="R25" s="227"/>
      <c r="S25" s="227"/>
      <c r="T25" s="227"/>
      <c r="U25" s="227"/>
      <c r="V25" s="227"/>
      <c r="W25" s="227"/>
    </row>
    <row r="26" spans="1:23" ht="15.75" customHeight="1">
      <c r="A26" s="231" t="s">
        <v>2</v>
      </c>
      <c r="B26" s="239">
        <f t="shared" si="0"/>
        <v>15984</v>
      </c>
      <c r="C26" s="348">
        <f>2093+796+397</f>
        <v>3286</v>
      </c>
      <c r="D26" s="448">
        <f>401+164+46+153</f>
        <v>764</v>
      </c>
      <c r="E26" s="448">
        <f>2600+1018+380</f>
        <v>3998</v>
      </c>
      <c r="F26" s="560">
        <f>'1.2. Диспансерное наблюдение'!$E$16</f>
        <v>340</v>
      </c>
      <c r="G26" s="227"/>
      <c r="H26" s="227"/>
      <c r="I26" s="227"/>
      <c r="J26" s="227"/>
      <c r="K26" s="227"/>
      <c r="P26" s="227"/>
      <c r="Q26" s="227"/>
      <c r="R26" s="227"/>
      <c r="S26" s="227"/>
      <c r="T26" s="227"/>
      <c r="U26" s="227"/>
      <c r="V26" s="227"/>
      <c r="W26" s="227"/>
    </row>
    <row r="27" spans="1:23" ht="16.5" customHeight="1">
      <c r="A27" s="242" t="s">
        <v>368</v>
      </c>
      <c r="B27" s="228">
        <f t="shared" si="0"/>
        <v>61371</v>
      </c>
      <c r="C27" s="348">
        <v>10388</v>
      </c>
      <c r="D27" s="448">
        <f>3025-1223</f>
        <v>1802</v>
      </c>
      <c r="E27" s="448">
        <v>16959</v>
      </c>
      <c r="F27" s="556">
        <v>0</v>
      </c>
      <c r="G27" s="227"/>
      <c r="H27" s="227"/>
      <c r="I27" s="227"/>
      <c r="J27" s="227"/>
      <c r="K27" s="227"/>
      <c r="P27" s="227"/>
      <c r="Q27" s="227"/>
      <c r="R27" s="227"/>
      <c r="S27" s="227"/>
      <c r="T27" s="227"/>
      <c r="U27" s="227"/>
      <c r="V27" s="227"/>
      <c r="W27" s="227"/>
    </row>
    <row r="28" spans="1:23" ht="30">
      <c r="A28" s="269" t="s">
        <v>394</v>
      </c>
      <c r="B28" s="266">
        <f t="shared" si="0"/>
        <v>7834</v>
      </c>
      <c r="C28" s="529">
        <f>SUM(C29:C31)</f>
        <v>7834</v>
      </c>
      <c r="D28" s="601">
        <v>0</v>
      </c>
      <c r="E28" s="601">
        <v>0</v>
      </c>
      <c r="F28" s="556">
        <v>0</v>
      </c>
      <c r="G28" s="227"/>
      <c r="H28" s="227"/>
      <c r="I28" s="227"/>
      <c r="J28" s="227"/>
      <c r="K28" s="227"/>
      <c r="P28" s="227"/>
      <c r="Q28" s="227"/>
      <c r="R28" s="227"/>
      <c r="S28" s="227"/>
      <c r="T28" s="227"/>
      <c r="U28" s="227"/>
      <c r="V28" s="227"/>
      <c r="W28" s="227"/>
    </row>
    <row r="29" spans="1:23" ht="30">
      <c r="A29" s="269" t="s">
        <v>145</v>
      </c>
      <c r="B29" s="266">
        <f t="shared" si="0"/>
        <v>116</v>
      </c>
      <c r="C29" s="529">
        <f>'1.1. ПРОФ.МЕРОПРИЯТИЯ'!C13</f>
        <v>116</v>
      </c>
      <c r="D29" s="601">
        <v>0</v>
      </c>
      <c r="E29" s="601">
        <v>0</v>
      </c>
      <c r="F29" s="556">
        <v>0</v>
      </c>
      <c r="G29" s="227"/>
      <c r="H29" s="227"/>
      <c r="I29" s="227"/>
      <c r="J29" s="227"/>
      <c r="K29" s="227"/>
      <c r="P29" s="227"/>
      <c r="Q29" s="227"/>
      <c r="R29" s="227"/>
      <c r="S29" s="227"/>
      <c r="T29" s="227"/>
      <c r="U29" s="227"/>
      <c r="V29" s="227"/>
      <c r="W29" s="227"/>
    </row>
    <row r="30" spans="1:23" ht="29.25" customHeight="1">
      <c r="A30" s="258" t="s">
        <v>146</v>
      </c>
      <c r="B30" s="259">
        <f t="shared" si="0"/>
        <v>184</v>
      </c>
      <c r="C30" s="529">
        <f>'1.1. ПРОФ.МЕРОПРИЯТИЯ'!D13</f>
        <v>184</v>
      </c>
      <c r="D30" s="601">
        <v>0</v>
      </c>
      <c r="E30" s="601">
        <v>0</v>
      </c>
      <c r="F30" s="556">
        <v>0</v>
      </c>
      <c r="G30" s="227"/>
      <c r="H30" s="227"/>
      <c r="I30" s="227"/>
      <c r="J30" s="227"/>
      <c r="K30" s="227"/>
      <c r="P30" s="227"/>
      <c r="Q30" s="227"/>
      <c r="R30" s="227"/>
      <c r="S30" s="227"/>
      <c r="T30" s="227"/>
      <c r="U30" s="227"/>
      <c r="V30" s="227"/>
      <c r="W30" s="227"/>
    </row>
    <row r="31" spans="1:23" ht="24" customHeight="1">
      <c r="A31" s="258" t="s">
        <v>147</v>
      </c>
      <c r="B31" s="259">
        <f t="shared" si="0"/>
        <v>7534</v>
      </c>
      <c r="C31" s="529">
        <f>'1.1. ПРОФ.МЕРОПРИЯТИЯ'!H13</f>
        <v>7534</v>
      </c>
      <c r="D31" s="601">
        <v>0</v>
      </c>
      <c r="E31" s="601">
        <v>0</v>
      </c>
      <c r="F31" s="556">
        <v>0</v>
      </c>
      <c r="G31" s="227"/>
      <c r="H31" s="227"/>
      <c r="I31" s="227"/>
      <c r="J31" s="227"/>
      <c r="K31" s="227"/>
      <c r="P31" s="227"/>
      <c r="Q31" s="227"/>
      <c r="R31" s="227"/>
      <c r="S31" s="227"/>
      <c r="T31" s="227"/>
      <c r="U31" s="227"/>
      <c r="V31" s="227"/>
      <c r="W31" s="227"/>
    </row>
    <row r="32" spans="1:23" ht="28.5" customHeight="1">
      <c r="A32" s="232" t="s">
        <v>10</v>
      </c>
      <c r="B32" s="239">
        <f t="shared" si="0"/>
        <v>1918</v>
      </c>
      <c r="C32" s="348">
        <f>245+365</f>
        <v>610</v>
      </c>
      <c r="D32" s="448">
        <v>0</v>
      </c>
      <c r="E32" s="448">
        <f>256+195</f>
        <v>451</v>
      </c>
      <c r="F32" s="556">
        <v>0</v>
      </c>
      <c r="G32" s="227"/>
      <c r="H32" s="227"/>
      <c r="I32" s="227"/>
      <c r="J32" s="227"/>
      <c r="K32" s="227"/>
      <c r="P32" s="227"/>
      <c r="Q32" s="227"/>
      <c r="R32" s="227"/>
      <c r="S32" s="227"/>
      <c r="T32" s="227"/>
      <c r="U32" s="227"/>
      <c r="V32" s="227"/>
      <c r="W32" s="227"/>
    </row>
    <row r="33" spans="1:23" ht="17.25" customHeight="1">
      <c r="A33" s="232" t="s">
        <v>40</v>
      </c>
      <c r="B33" s="239">
        <f t="shared" si="0"/>
        <v>1120</v>
      </c>
      <c r="C33" s="348">
        <v>528</v>
      </c>
      <c r="D33" s="448">
        <v>0</v>
      </c>
      <c r="E33" s="349">
        <v>204</v>
      </c>
      <c r="F33" s="556">
        <v>0</v>
      </c>
      <c r="G33" s="227"/>
      <c r="H33" s="227"/>
      <c r="I33" s="227"/>
      <c r="J33" s="227"/>
      <c r="K33" s="227"/>
      <c r="P33" s="227"/>
      <c r="Q33" s="227"/>
      <c r="R33" s="227"/>
      <c r="S33" s="227"/>
      <c r="T33" s="227"/>
      <c r="U33" s="227"/>
      <c r="V33" s="227"/>
      <c r="W33" s="227"/>
    </row>
    <row r="34" spans="1:23" ht="17.25" customHeight="1">
      <c r="A34" s="232" t="s">
        <v>486</v>
      </c>
      <c r="B34" s="228">
        <f t="shared" si="0"/>
        <v>1966</v>
      </c>
      <c r="C34" s="348">
        <f>245+300</f>
        <v>545</v>
      </c>
      <c r="D34" s="448">
        <v>0</v>
      </c>
      <c r="E34" s="448">
        <f>256+234</f>
        <v>490</v>
      </c>
      <c r="F34" s="556">
        <v>0</v>
      </c>
      <c r="G34" s="227"/>
      <c r="H34" s="227"/>
      <c r="I34" s="227"/>
      <c r="J34" s="227"/>
      <c r="K34" s="227"/>
      <c r="P34" s="227"/>
      <c r="Q34" s="227"/>
      <c r="R34" s="227"/>
      <c r="S34" s="227"/>
      <c r="T34" s="227"/>
      <c r="U34" s="227"/>
      <c r="V34" s="227"/>
      <c r="W34" s="227"/>
    </row>
    <row r="35" spans="1:23" ht="17.25" customHeight="1">
      <c r="A35" s="231" t="s">
        <v>35</v>
      </c>
      <c r="B35" s="228">
        <f t="shared" si="0"/>
        <v>42472</v>
      </c>
      <c r="C35" s="348">
        <f>9898-51</f>
        <v>9847</v>
      </c>
      <c r="D35" s="448">
        <f>1760-46</f>
        <v>1714</v>
      </c>
      <c r="E35" s="448">
        <f>10857-198</f>
        <v>10659</v>
      </c>
      <c r="F35" s="556">
        <v>0</v>
      </c>
      <c r="G35" s="227"/>
      <c r="H35" s="342"/>
      <c r="I35" s="342"/>
      <c r="J35" s="342"/>
      <c r="K35" s="342"/>
      <c r="P35" s="227"/>
      <c r="Q35" s="227"/>
      <c r="R35" s="227"/>
      <c r="S35" s="227"/>
      <c r="T35" s="227"/>
      <c r="U35" s="227"/>
      <c r="V35" s="227"/>
      <c r="W35" s="227"/>
    </row>
    <row r="36" spans="1:23" ht="27" customHeight="1">
      <c r="A36" s="231" t="s">
        <v>497</v>
      </c>
      <c r="B36" s="228">
        <f t="shared" si="0"/>
        <v>3687</v>
      </c>
      <c r="C36" s="348">
        <f>2150-300</f>
        <v>1850</v>
      </c>
      <c r="D36" s="448">
        <v>506</v>
      </c>
      <c r="E36" s="448">
        <v>459</v>
      </c>
      <c r="F36" s="556">
        <v>0</v>
      </c>
      <c r="G36" s="227"/>
      <c r="H36" s="227"/>
      <c r="I36" s="227"/>
      <c r="J36" s="227"/>
      <c r="K36" s="227"/>
      <c r="P36" s="227"/>
      <c r="Q36" s="227"/>
      <c r="R36" s="227"/>
      <c r="S36" s="227"/>
      <c r="T36" s="227"/>
      <c r="U36" s="227"/>
      <c r="V36" s="227"/>
      <c r="W36" s="227"/>
    </row>
    <row r="37" spans="1:23" ht="17.25" customHeight="1">
      <c r="A37" s="232" t="s">
        <v>369</v>
      </c>
      <c r="B37" s="228">
        <f t="shared" si="0"/>
        <v>77969</v>
      </c>
      <c r="C37" s="348">
        <f>17838+730</f>
        <v>18568</v>
      </c>
      <c r="D37" s="448">
        <f>2935+65-787+540</f>
        <v>2753</v>
      </c>
      <c r="E37" s="448">
        <f>16877+472</f>
        <v>17349</v>
      </c>
      <c r="F37" s="560">
        <f>'1.2. Диспансерное наблюдение'!$E$17</f>
        <v>6336</v>
      </c>
      <c r="G37" s="227"/>
      <c r="H37" s="227"/>
      <c r="I37" s="227"/>
      <c r="J37" s="227"/>
      <c r="K37" s="227"/>
      <c r="P37" s="227"/>
      <c r="Q37" s="227"/>
      <c r="R37" s="227"/>
      <c r="S37" s="227"/>
      <c r="T37" s="227"/>
      <c r="U37" s="227"/>
      <c r="V37" s="227"/>
      <c r="W37" s="227"/>
    </row>
    <row r="38" spans="1:23" ht="31.5" customHeight="1">
      <c r="A38" s="258" t="s">
        <v>394</v>
      </c>
      <c r="B38" s="266">
        <f t="shared" si="0"/>
        <v>16820</v>
      </c>
      <c r="C38" s="353">
        <f>C39+C41</f>
        <v>16820</v>
      </c>
      <c r="D38" s="601">
        <v>0</v>
      </c>
      <c r="E38" s="601">
        <v>0</v>
      </c>
      <c r="F38" s="556">
        <v>0</v>
      </c>
      <c r="G38" s="227"/>
      <c r="H38" s="227"/>
      <c r="I38" s="227"/>
      <c r="J38" s="227"/>
      <c r="K38" s="227"/>
      <c r="P38" s="227"/>
      <c r="Q38" s="227"/>
      <c r="R38" s="227"/>
      <c r="S38" s="227"/>
      <c r="T38" s="227"/>
      <c r="U38" s="227"/>
      <c r="V38" s="227"/>
      <c r="W38" s="227"/>
    </row>
    <row r="39" spans="1:23" ht="34.5" customHeight="1">
      <c r="A39" s="258" t="s">
        <v>371</v>
      </c>
      <c r="B39" s="266">
        <f t="shared" si="0"/>
        <v>13788</v>
      </c>
      <c r="C39" s="353">
        <f>'1.1. ПРОФ.МЕРОПРИЯТИЯ'!E13</f>
        <v>13788</v>
      </c>
      <c r="D39" s="601">
        <v>0</v>
      </c>
      <c r="E39" s="601">
        <v>0</v>
      </c>
      <c r="F39" s="556">
        <v>0</v>
      </c>
      <c r="G39" s="227"/>
      <c r="H39" s="227"/>
      <c r="I39" s="227"/>
      <c r="J39" s="227"/>
      <c r="K39" s="227"/>
      <c r="P39" s="227"/>
      <c r="Q39" s="227"/>
      <c r="R39" s="227"/>
      <c r="S39" s="227"/>
      <c r="T39" s="227"/>
      <c r="U39" s="227"/>
      <c r="V39" s="227"/>
      <c r="W39" s="227"/>
    </row>
    <row r="40" spans="1:23" ht="17.25" customHeight="1">
      <c r="A40" s="258" t="s">
        <v>370</v>
      </c>
      <c r="B40" s="266">
        <f t="shared" si="0"/>
        <v>946</v>
      </c>
      <c r="C40" s="353">
        <f>'1.1. ПРОФ.МЕРОПРИЯТИЯ'!F13</f>
        <v>946</v>
      </c>
      <c r="D40" s="601">
        <v>0</v>
      </c>
      <c r="E40" s="601">
        <v>0</v>
      </c>
      <c r="F40" s="556">
        <v>0</v>
      </c>
      <c r="G40" s="227"/>
      <c r="H40" s="227"/>
      <c r="I40" s="227"/>
      <c r="J40" s="227"/>
      <c r="K40" s="227"/>
      <c r="P40" s="227"/>
      <c r="Q40" s="227"/>
      <c r="R40" s="227"/>
      <c r="S40" s="227"/>
      <c r="T40" s="227"/>
      <c r="U40" s="227"/>
      <c r="V40" s="227"/>
      <c r="W40" s="227"/>
    </row>
    <row r="41" spans="1:23" ht="31.5" customHeight="1">
      <c r="A41" s="258" t="s">
        <v>203</v>
      </c>
      <c r="B41" s="266">
        <f t="shared" si="0"/>
        <v>3032</v>
      </c>
      <c r="C41" s="353">
        <f>'1.1. ПРОФ.МЕРОПРИЯТИЯ'!I13</f>
        <v>3032</v>
      </c>
      <c r="D41" s="601">
        <v>0</v>
      </c>
      <c r="E41" s="601">
        <v>0</v>
      </c>
      <c r="F41" s="556">
        <v>0</v>
      </c>
      <c r="G41" s="227"/>
      <c r="H41" s="227"/>
      <c r="I41" s="227"/>
      <c r="J41" s="227"/>
      <c r="K41" s="227"/>
      <c r="P41" s="227"/>
      <c r="Q41" s="227"/>
      <c r="R41" s="227"/>
      <c r="S41" s="227"/>
      <c r="T41" s="227"/>
      <c r="U41" s="227"/>
      <c r="V41" s="227"/>
      <c r="W41" s="227"/>
    </row>
    <row r="42" spans="1:23" ht="18.75" customHeight="1">
      <c r="A42" s="232" t="s">
        <v>66</v>
      </c>
      <c r="B42" s="228">
        <f t="shared" si="0"/>
        <v>4970</v>
      </c>
      <c r="C42" s="348">
        <f>669+490</f>
        <v>1159</v>
      </c>
      <c r="D42" s="448">
        <f>123+81+158</f>
        <v>362</v>
      </c>
      <c r="E42" s="448">
        <f>707+477</f>
        <v>1184</v>
      </c>
      <c r="F42" s="561">
        <f>'1.2. Диспансерное наблюдение'!$E$18</f>
        <v>15</v>
      </c>
      <c r="G42" s="227"/>
      <c r="H42" s="227"/>
      <c r="I42" s="227"/>
      <c r="J42" s="227"/>
      <c r="K42" s="227"/>
      <c r="P42" s="227"/>
      <c r="Q42" s="227"/>
      <c r="R42" s="227"/>
      <c r="S42" s="227"/>
      <c r="T42" s="227"/>
      <c r="U42" s="227"/>
      <c r="V42" s="227"/>
      <c r="W42" s="227"/>
    </row>
    <row r="43" spans="1:23" ht="17.25" customHeight="1">
      <c r="A43" s="232" t="s">
        <v>1</v>
      </c>
      <c r="B43" s="239">
        <f t="shared" si="0"/>
        <v>2600</v>
      </c>
      <c r="C43" s="348">
        <f>361+459-153</f>
        <v>667</v>
      </c>
      <c r="D43" s="448">
        <v>0</v>
      </c>
      <c r="E43" s="448">
        <f>378+361-95</f>
        <v>644</v>
      </c>
      <c r="F43" s="560">
        <f>'1.2. Диспансерное наблюдение'!E19</f>
        <v>65</v>
      </c>
      <c r="G43" s="227"/>
      <c r="H43" s="227"/>
      <c r="I43" s="227"/>
      <c r="J43" s="227"/>
      <c r="K43" s="227"/>
      <c r="P43" s="227"/>
      <c r="Q43" s="227"/>
      <c r="R43" s="227"/>
      <c r="S43" s="227"/>
      <c r="T43" s="227"/>
      <c r="U43" s="227"/>
      <c r="V43" s="227"/>
      <c r="W43" s="227"/>
    </row>
    <row r="44" spans="1:23" ht="17.25" customHeight="1">
      <c r="A44" s="231" t="s">
        <v>36</v>
      </c>
      <c r="B44" s="228">
        <f t="shared" si="0"/>
        <v>5320</v>
      </c>
      <c r="C44" s="348">
        <v>1590</v>
      </c>
      <c r="D44" s="448">
        <v>288</v>
      </c>
      <c r="E44" s="448">
        <v>1187</v>
      </c>
      <c r="F44" s="556">
        <v>0</v>
      </c>
      <c r="G44" s="227"/>
      <c r="H44" s="227"/>
      <c r="I44" s="227"/>
      <c r="J44" s="227"/>
      <c r="K44" s="227"/>
      <c r="P44" s="227"/>
      <c r="Q44" s="227"/>
      <c r="R44" s="227"/>
      <c r="S44" s="227"/>
      <c r="T44" s="227"/>
      <c r="U44" s="227"/>
      <c r="V44" s="227"/>
      <c r="W44" s="227"/>
    </row>
    <row r="45" spans="1:23" ht="17.25" customHeight="1">
      <c r="A45" s="231" t="s">
        <v>498</v>
      </c>
      <c r="B45" s="228">
        <f t="shared" si="0"/>
        <v>12316</v>
      </c>
      <c r="C45" s="348">
        <v>3419</v>
      </c>
      <c r="D45" s="448">
        <v>733</v>
      </c>
      <c r="E45" s="448">
        <v>2815</v>
      </c>
      <c r="F45" s="556">
        <v>0</v>
      </c>
      <c r="G45" s="227"/>
      <c r="H45" s="227"/>
      <c r="I45" s="227"/>
      <c r="J45" s="227"/>
      <c r="K45" s="227"/>
      <c r="P45" s="227"/>
      <c r="Q45" s="227"/>
      <c r="R45" s="227"/>
      <c r="S45" s="227"/>
      <c r="T45" s="227"/>
      <c r="U45" s="227"/>
      <c r="V45" s="227"/>
      <c r="W45" s="227"/>
    </row>
    <row r="46" spans="1:23" ht="17.25" customHeight="1">
      <c r="A46" s="231" t="s">
        <v>33</v>
      </c>
      <c r="B46" s="228">
        <f t="shared" si="0"/>
        <v>24773</v>
      </c>
      <c r="C46" s="348">
        <v>3281</v>
      </c>
      <c r="D46" s="448">
        <f>1050+461</f>
        <v>1511</v>
      </c>
      <c r="E46" s="448">
        <v>6704</v>
      </c>
      <c r="F46" s="561">
        <f>'1.2. Диспансерное наблюдение'!$E$20</f>
        <v>539</v>
      </c>
      <c r="G46" s="227"/>
      <c r="H46" s="227"/>
      <c r="I46" s="227"/>
      <c r="J46" s="227"/>
      <c r="K46" s="227"/>
      <c r="P46" s="227"/>
      <c r="Q46" s="227"/>
      <c r="R46" s="227"/>
      <c r="S46" s="227"/>
      <c r="T46" s="227"/>
      <c r="U46" s="227"/>
      <c r="V46" s="227"/>
      <c r="W46" s="227"/>
    </row>
    <row r="47" spans="1:23" ht="17.25" customHeight="1" thickBot="1">
      <c r="A47" s="231" t="s">
        <v>5</v>
      </c>
      <c r="B47" s="228">
        <f t="shared" si="0"/>
        <v>5608</v>
      </c>
      <c r="C47" s="348">
        <f>799+592</f>
        <v>1391</v>
      </c>
      <c r="D47" s="448">
        <f>4+336</f>
        <v>340</v>
      </c>
      <c r="E47" s="448">
        <f>801+491</f>
        <v>1292</v>
      </c>
      <c r="F47" s="561">
        <f>'1.2. Диспансерное наблюдение'!$E$21</f>
        <v>130</v>
      </c>
      <c r="G47" s="227"/>
      <c r="H47" s="227"/>
      <c r="I47" s="227"/>
      <c r="J47" s="227"/>
      <c r="K47" s="227"/>
      <c r="P47" s="227"/>
      <c r="Q47" s="227"/>
      <c r="R47" s="227"/>
      <c r="S47" s="227"/>
      <c r="T47" s="227"/>
      <c r="U47" s="227"/>
      <c r="V47" s="227"/>
      <c r="W47" s="227"/>
    </row>
    <row r="48" spans="1:23" ht="23.25" customHeight="1" thickBot="1">
      <c r="A48" s="384" t="s">
        <v>222</v>
      </c>
      <c r="B48" s="236">
        <f>SUM(B14:B27,B32:B37,B42:B47)</f>
        <v>357818</v>
      </c>
      <c r="C48" s="236">
        <f>SUM(C14:C27,C32:C37,C42:C47)</f>
        <v>78454</v>
      </c>
      <c r="D48" s="236">
        <f>SUM(D14:D27,D32:D37,D42:D47)</f>
        <v>14864</v>
      </c>
      <c r="E48" s="236">
        <f>SUM(E14:E27,E32:E37,E42:E47)</f>
        <v>87457</v>
      </c>
      <c r="F48" s="564">
        <f>SUM(F14:F27,F32:F37,F42:F47)</f>
        <v>10872</v>
      </c>
      <c r="G48" s="227"/>
      <c r="H48" s="227"/>
      <c r="I48" s="227"/>
      <c r="J48" s="227"/>
      <c r="K48" s="227"/>
      <c r="P48" s="227"/>
      <c r="Q48" s="227"/>
      <c r="R48" s="227"/>
      <c r="S48" s="227"/>
      <c r="T48" s="227"/>
      <c r="U48" s="227"/>
      <c r="V48" s="227"/>
      <c r="W48" s="227"/>
    </row>
    <row r="49" spans="1:23" ht="16.5" customHeight="1" thickBot="1">
      <c r="A49" s="673" t="s">
        <v>56</v>
      </c>
      <c r="B49" s="674"/>
      <c r="C49" s="674"/>
      <c r="D49" s="674"/>
      <c r="E49" s="674"/>
      <c r="F49" s="534"/>
      <c r="G49" s="227"/>
      <c r="H49" s="227"/>
      <c r="I49" s="227"/>
      <c r="J49" s="227"/>
      <c r="K49" s="227"/>
      <c r="P49" s="227"/>
      <c r="Q49" s="227"/>
      <c r="R49" s="227"/>
      <c r="S49" s="227"/>
      <c r="T49" s="227"/>
      <c r="U49" s="227"/>
      <c r="V49" s="227"/>
      <c r="W49" s="227"/>
    </row>
    <row r="50" spans="1:23" ht="23.25" customHeight="1" thickBot="1">
      <c r="A50" s="531" t="s">
        <v>282</v>
      </c>
      <c r="B50" s="273">
        <f>ROUND(C50+D50+E50*2.9+F50*$H$1,0)</f>
        <v>20480</v>
      </c>
      <c r="C50" s="532">
        <f>6030-580</f>
        <v>5450</v>
      </c>
      <c r="D50" s="532">
        <v>0</v>
      </c>
      <c r="E50" s="533">
        <v>4954</v>
      </c>
      <c r="F50" s="562">
        <f>'1.2. Диспансерное наблюдение'!$G$10</f>
        <v>663</v>
      </c>
      <c r="G50" s="227"/>
      <c r="H50" s="227"/>
      <c r="I50" s="227"/>
      <c r="J50" s="227"/>
      <c r="K50" s="227"/>
      <c r="P50" s="227"/>
      <c r="Q50" s="227"/>
      <c r="R50" s="227"/>
      <c r="S50" s="227"/>
      <c r="T50" s="227"/>
      <c r="U50" s="227"/>
      <c r="V50" s="227"/>
      <c r="W50" s="227"/>
    </row>
    <row r="51" spans="1:23" ht="18.75" customHeight="1">
      <c r="A51" s="681" t="s">
        <v>221</v>
      </c>
      <c r="B51" s="682"/>
      <c r="C51" s="682"/>
      <c r="D51" s="682"/>
      <c r="E51" s="682"/>
      <c r="F51" s="535"/>
      <c r="G51" s="227"/>
      <c r="H51" s="227"/>
      <c r="I51" s="227"/>
      <c r="J51" s="227"/>
      <c r="K51" s="227"/>
      <c r="P51" s="227"/>
      <c r="Q51" s="227"/>
      <c r="R51" s="227"/>
      <c r="S51" s="227"/>
      <c r="T51" s="227"/>
      <c r="U51" s="227"/>
      <c r="V51" s="227"/>
      <c r="W51" s="227"/>
    </row>
    <row r="52" spans="1:23" ht="18.75" customHeight="1">
      <c r="A52" s="245" t="s">
        <v>38</v>
      </c>
      <c r="B52" s="228">
        <f>ROUND(C52+D52+E52*2.9+F52*$H$1,0)</f>
        <v>3365</v>
      </c>
      <c r="C52" s="347">
        <v>713</v>
      </c>
      <c r="D52" s="347">
        <v>0</v>
      </c>
      <c r="E52" s="448">
        <v>879</v>
      </c>
      <c r="F52" s="561">
        <f>'1.2. Диспансерное наблюдение'!F9</f>
        <v>103</v>
      </c>
      <c r="G52" s="227"/>
      <c r="H52" s="227"/>
      <c r="I52" s="227"/>
      <c r="J52" s="227"/>
      <c r="K52" s="227"/>
      <c r="P52" s="227"/>
      <c r="Q52" s="227"/>
      <c r="R52" s="227"/>
      <c r="S52" s="227"/>
      <c r="T52" s="227"/>
      <c r="U52" s="227"/>
      <c r="V52" s="227"/>
      <c r="W52" s="227"/>
    </row>
    <row r="53" spans="1:23" ht="17.25" customHeight="1">
      <c r="A53" s="237" t="s">
        <v>6</v>
      </c>
      <c r="B53" s="228">
        <f>ROUND(C53+D53+E53*2.9+F53*$H$1,0)</f>
        <v>20377</v>
      </c>
      <c r="C53" s="347">
        <v>3122</v>
      </c>
      <c r="D53" s="347">
        <v>0</v>
      </c>
      <c r="E53" s="448">
        <v>5069</v>
      </c>
      <c r="F53" s="560">
        <f>'1.2. Диспансерное наблюдение'!$F$14</f>
        <v>2555</v>
      </c>
      <c r="G53" s="227"/>
      <c r="H53" s="227"/>
      <c r="I53" s="227"/>
      <c r="J53" s="227"/>
      <c r="K53" s="227"/>
      <c r="P53" s="227"/>
      <c r="Q53" s="227"/>
      <c r="R53" s="227"/>
      <c r="S53" s="227"/>
      <c r="T53" s="227"/>
      <c r="U53" s="227"/>
      <c r="V53" s="227"/>
      <c r="W53" s="227"/>
    </row>
    <row r="54" spans="1:23" ht="20.25" customHeight="1" thickBot="1">
      <c r="A54" s="270" t="s">
        <v>0</v>
      </c>
      <c r="B54" s="272">
        <f>ROUND(C54+D54+E54*2.9+F54*$H$1,0)</f>
        <v>930</v>
      </c>
      <c r="C54" s="350">
        <v>231</v>
      </c>
      <c r="D54" s="351">
        <v>0</v>
      </c>
      <c r="E54" s="351">
        <v>241</v>
      </c>
      <c r="F54" s="352">
        <v>0</v>
      </c>
      <c r="G54" s="227"/>
      <c r="H54" s="227"/>
      <c r="I54" s="227"/>
      <c r="J54" s="227"/>
      <c r="K54" s="227"/>
      <c r="P54" s="227"/>
      <c r="Q54" s="227"/>
      <c r="R54" s="227"/>
      <c r="S54" s="227"/>
      <c r="T54" s="227"/>
      <c r="U54" s="227"/>
      <c r="V54" s="227"/>
      <c r="W54" s="227"/>
    </row>
    <row r="55" spans="1:23" ht="15.75" thickBot="1">
      <c r="A55" s="234" t="s">
        <v>202</v>
      </c>
      <c r="B55" s="358">
        <f>B54+B52+B53</f>
        <v>24672</v>
      </c>
      <c r="C55" s="358">
        <f>C54+C52+C53</f>
        <v>4066</v>
      </c>
      <c r="D55" s="358">
        <f>D54+D52+D53</f>
        <v>0</v>
      </c>
      <c r="E55" s="382">
        <f>E54+E52+E53</f>
        <v>6189</v>
      </c>
      <c r="F55" s="383">
        <f>F54+F52+F53</f>
        <v>2658</v>
      </c>
      <c r="G55" s="227"/>
      <c r="H55" s="227"/>
      <c r="I55" s="227"/>
      <c r="J55" s="227"/>
      <c r="K55" s="227"/>
      <c r="P55" s="227"/>
      <c r="Q55" s="227"/>
      <c r="R55" s="227"/>
      <c r="S55" s="227"/>
      <c r="T55" s="227"/>
      <c r="U55" s="227"/>
      <c r="V55" s="227"/>
      <c r="W55" s="227"/>
    </row>
    <row r="56" spans="1:24" ht="15.75" thickBot="1">
      <c r="A56" s="234" t="s">
        <v>485</v>
      </c>
      <c r="B56" s="358">
        <f>B55+B48+B50</f>
        <v>402970</v>
      </c>
      <c r="C56" s="358">
        <f>C55+C48+C50</f>
        <v>87970</v>
      </c>
      <c r="D56" s="358">
        <f>D55+D48+D50</f>
        <v>14864</v>
      </c>
      <c r="E56" s="358">
        <f>E55+E48+E50</f>
        <v>98600</v>
      </c>
      <c r="F56" s="383">
        <f>F55+F48+F50</f>
        <v>14193</v>
      </c>
      <c r="G56" s="341">
        <v>402970</v>
      </c>
      <c r="H56" s="341">
        <v>87970</v>
      </c>
      <c r="I56" s="343">
        <v>14864</v>
      </c>
      <c r="J56" s="341">
        <v>98600</v>
      </c>
      <c r="K56" s="343">
        <v>14193</v>
      </c>
      <c r="L56" s="343"/>
      <c r="M56" s="343"/>
      <c r="N56" s="343"/>
      <c r="O56" s="343"/>
      <c r="P56" s="341"/>
      <c r="Q56" s="341"/>
      <c r="R56" s="341"/>
      <c r="S56" s="341"/>
      <c r="T56" s="341"/>
      <c r="U56" s="341"/>
      <c r="V56" s="341"/>
      <c r="W56" s="341"/>
      <c r="X56" s="343"/>
    </row>
    <row r="57" spans="1:11" ht="19.5" customHeight="1" hidden="1" thickBot="1">
      <c r="A57" s="664"/>
      <c r="B57" s="665"/>
      <c r="C57" s="665"/>
      <c r="D57" s="665"/>
      <c r="E57" s="666"/>
      <c r="F57" s="582"/>
      <c r="H57" s="341"/>
      <c r="I57" s="343"/>
      <c r="J57" s="343"/>
      <c r="K57" s="343"/>
    </row>
    <row r="58" spans="1:11" ht="19.5" customHeight="1" hidden="1">
      <c r="A58" s="274"/>
      <c r="B58" s="228"/>
      <c r="C58" s="301"/>
      <c r="D58" s="302"/>
      <c r="E58" s="303"/>
      <c r="F58" s="346"/>
      <c r="H58" s="343"/>
      <c r="I58" s="343"/>
      <c r="J58" s="343"/>
      <c r="K58" s="343"/>
    </row>
    <row r="59" spans="1:11" ht="16.5" customHeight="1" hidden="1">
      <c r="A59" s="237"/>
      <c r="B59" s="228"/>
      <c r="C59" s="301"/>
      <c r="D59" s="302"/>
      <c r="E59" s="303"/>
      <c r="F59" s="346"/>
      <c r="H59" s="343"/>
      <c r="I59" s="343"/>
      <c r="J59" s="343"/>
      <c r="K59" s="343"/>
    </row>
    <row r="60" spans="1:11" ht="16.5" customHeight="1" hidden="1" thickBot="1">
      <c r="A60" s="270"/>
      <c r="B60" s="272"/>
      <c r="C60" s="318"/>
      <c r="D60" s="313"/>
      <c r="E60" s="314"/>
      <c r="F60" s="352"/>
      <c r="H60" s="343"/>
      <c r="I60" s="343"/>
      <c r="J60" s="343"/>
      <c r="K60" s="343"/>
    </row>
    <row r="61" spans="1:11" ht="16.5" customHeight="1" hidden="1" thickBot="1">
      <c r="A61" s="234"/>
      <c r="B61" s="273"/>
      <c r="C61" s="315"/>
      <c r="D61" s="316"/>
      <c r="E61" s="317"/>
      <c r="F61" s="563"/>
      <c r="H61" s="343"/>
      <c r="I61" s="343"/>
      <c r="J61" s="343"/>
      <c r="K61" s="343"/>
    </row>
    <row r="62" spans="1:11" ht="32.25" customHeight="1" hidden="1">
      <c r="A62" s="274"/>
      <c r="B62" s="228"/>
      <c r="C62" s="301"/>
      <c r="D62" s="302"/>
      <c r="E62" s="303"/>
      <c r="F62" s="346"/>
      <c r="H62" s="343"/>
      <c r="I62" s="343"/>
      <c r="J62" s="343"/>
      <c r="K62" s="343"/>
    </row>
    <row r="63" spans="1:11" ht="16.5" customHeight="1" hidden="1">
      <c r="A63" s="237"/>
      <c r="B63" s="228"/>
      <c r="C63" s="304"/>
      <c r="D63" s="305"/>
      <c r="E63" s="306"/>
      <c r="F63" s="561"/>
      <c r="H63" s="343"/>
      <c r="I63" s="343"/>
      <c r="J63" s="343"/>
      <c r="K63" s="343"/>
    </row>
    <row r="64" spans="1:11" ht="16.5" customHeight="1" hidden="1">
      <c r="A64" s="250"/>
      <c r="B64" s="228"/>
      <c r="C64" s="301"/>
      <c r="D64" s="302"/>
      <c r="E64" s="303"/>
      <c r="F64" s="346"/>
      <c r="H64" s="343"/>
      <c r="I64" s="343"/>
      <c r="J64" s="343"/>
      <c r="K64" s="343"/>
    </row>
    <row r="65" spans="1:11" ht="16.5" customHeight="1" hidden="1" thickBot="1">
      <c r="A65" s="270"/>
      <c r="B65" s="272"/>
      <c r="C65" s="312"/>
      <c r="D65" s="313"/>
      <c r="E65" s="314"/>
      <c r="F65" s="352"/>
      <c r="H65" s="343"/>
      <c r="I65" s="343"/>
      <c r="J65" s="343"/>
      <c r="K65" s="343"/>
    </row>
    <row r="66" spans="1:11" ht="16.5" customHeight="1" hidden="1" thickBot="1">
      <c r="A66" s="234"/>
      <c r="B66" s="273"/>
      <c r="C66" s="315"/>
      <c r="D66" s="316"/>
      <c r="E66" s="317"/>
      <c r="F66" s="563"/>
      <c r="H66" s="343"/>
      <c r="I66" s="343"/>
      <c r="J66" s="343"/>
      <c r="K66" s="343"/>
    </row>
    <row r="67" spans="1:11" ht="17.25" customHeight="1" hidden="1" thickBot="1">
      <c r="A67" s="234"/>
      <c r="B67" s="235"/>
      <c r="C67" s="310"/>
      <c r="D67" s="310"/>
      <c r="E67" s="311"/>
      <c r="F67" s="564"/>
      <c r="H67" s="343"/>
      <c r="I67" s="343"/>
      <c r="J67" s="343"/>
      <c r="K67" s="343"/>
    </row>
    <row r="68" spans="1:11" ht="30.75" customHeight="1" hidden="1" thickBot="1">
      <c r="A68" s="664"/>
      <c r="B68" s="665"/>
      <c r="C68" s="665"/>
      <c r="D68" s="665"/>
      <c r="E68" s="666"/>
      <c r="F68" s="583"/>
      <c r="H68" s="343"/>
      <c r="I68" s="343"/>
      <c r="J68" s="343"/>
      <c r="K68" s="343"/>
    </row>
    <row r="69" spans="1:11" ht="15.75" hidden="1" thickBot="1">
      <c r="A69" s="230"/>
      <c r="B69" s="228"/>
      <c r="C69" s="301"/>
      <c r="D69" s="302"/>
      <c r="E69" s="303"/>
      <c r="F69" s="346"/>
      <c r="H69" s="343"/>
      <c r="I69" s="343"/>
      <c r="J69" s="343"/>
      <c r="K69" s="343"/>
    </row>
    <row r="70" spans="1:11" ht="22.5" customHeight="1" hidden="1" thickBot="1">
      <c r="A70" s="231"/>
      <c r="B70" s="228"/>
      <c r="C70" s="304"/>
      <c r="D70" s="302"/>
      <c r="E70" s="303"/>
      <c r="F70" s="346"/>
      <c r="H70" s="343"/>
      <c r="I70" s="343"/>
      <c r="J70" s="343"/>
      <c r="K70" s="343"/>
    </row>
    <row r="71" spans="1:11" ht="15.75" hidden="1" thickBot="1">
      <c r="A71" s="234"/>
      <c r="B71" s="235"/>
      <c r="C71" s="310"/>
      <c r="D71" s="310"/>
      <c r="E71" s="311"/>
      <c r="F71" s="564"/>
      <c r="H71" s="343"/>
      <c r="I71" s="343"/>
      <c r="J71" s="343"/>
      <c r="K71" s="343"/>
    </row>
    <row r="72" spans="1:11" ht="20.25" customHeight="1">
      <c r="A72" s="655" t="s">
        <v>501</v>
      </c>
      <c r="B72" s="656"/>
      <c r="C72" s="656"/>
      <c r="D72" s="656"/>
      <c r="E72" s="656"/>
      <c r="F72" s="657"/>
      <c r="G72" s="341">
        <f>G56-B56</f>
        <v>0</v>
      </c>
      <c r="H72" s="341">
        <f>H56-C56</f>
        <v>0</v>
      </c>
      <c r="I72" s="341">
        <f>I56-D56</f>
        <v>0</v>
      </c>
      <c r="J72" s="341">
        <f>J56-E56</f>
        <v>0</v>
      </c>
      <c r="K72" s="341">
        <f>K56-F56</f>
        <v>0</v>
      </c>
    </row>
    <row r="73" spans="1:8" ht="20.25" customHeight="1">
      <c r="A73" s="242" t="s">
        <v>77</v>
      </c>
      <c r="B73" s="228">
        <f aca="true" t="shared" si="1" ref="B73:B98">ROUND(C73+D73+E73*2.9+F73*$H$1,0)</f>
        <v>436</v>
      </c>
      <c r="C73" s="348">
        <v>394</v>
      </c>
      <c r="D73" s="349">
        <v>1</v>
      </c>
      <c r="E73" s="349">
        <v>14</v>
      </c>
      <c r="F73" s="556">
        <v>0</v>
      </c>
      <c r="H73" s="618"/>
    </row>
    <row r="74" spans="1:8" ht="20.25" customHeight="1">
      <c r="A74" s="242" t="s">
        <v>9</v>
      </c>
      <c r="B74" s="228">
        <f>ROUND(C74+D74+E74*2.9+F74*$H$1,0)</f>
        <v>139</v>
      </c>
      <c r="C74" s="348">
        <v>139</v>
      </c>
      <c r="D74" s="349">
        <v>0</v>
      </c>
      <c r="E74" s="349">
        <v>0</v>
      </c>
      <c r="F74" s="556">
        <v>0</v>
      </c>
      <c r="H74" s="618"/>
    </row>
    <row r="75" spans="1:23" ht="15">
      <c r="A75" s="238" t="s">
        <v>72</v>
      </c>
      <c r="B75" s="239">
        <f t="shared" si="1"/>
        <v>168</v>
      </c>
      <c r="C75" s="359">
        <v>165</v>
      </c>
      <c r="D75" s="349">
        <v>0</v>
      </c>
      <c r="E75" s="349">
        <v>1</v>
      </c>
      <c r="F75" s="556">
        <v>0</v>
      </c>
      <c r="G75" s="227"/>
      <c r="H75" s="618"/>
      <c r="I75" s="227"/>
      <c r="J75" s="227"/>
      <c r="K75" s="227"/>
      <c r="P75" s="342"/>
      <c r="Q75" s="342"/>
      <c r="R75" s="342"/>
      <c r="S75" s="342"/>
      <c r="T75" s="342"/>
      <c r="U75" s="342"/>
      <c r="V75" s="342"/>
      <c r="W75" s="342"/>
    </row>
    <row r="76" spans="1:23" ht="15">
      <c r="A76" s="242" t="s">
        <v>424</v>
      </c>
      <c r="B76" s="228">
        <f t="shared" si="1"/>
        <v>45</v>
      </c>
      <c r="C76" s="348">
        <v>42</v>
      </c>
      <c r="D76" s="349">
        <v>0</v>
      </c>
      <c r="E76" s="349">
        <v>1</v>
      </c>
      <c r="F76" s="556">
        <v>0</v>
      </c>
      <c r="H76" s="618"/>
      <c r="P76" s="342"/>
      <c r="Q76" s="342"/>
      <c r="R76" s="342"/>
      <c r="S76" s="342"/>
      <c r="T76" s="342"/>
      <c r="U76" s="342"/>
      <c r="V76" s="342"/>
      <c r="W76" s="342"/>
    </row>
    <row r="77" spans="1:23" ht="15">
      <c r="A77" s="242" t="s">
        <v>227</v>
      </c>
      <c r="B77" s="228">
        <f t="shared" si="1"/>
        <v>501</v>
      </c>
      <c r="C77" s="348">
        <v>412</v>
      </c>
      <c r="D77" s="349">
        <v>5</v>
      </c>
      <c r="E77" s="349">
        <v>29</v>
      </c>
      <c r="F77" s="556">
        <v>0</v>
      </c>
      <c r="H77" s="618"/>
      <c r="P77" s="342"/>
      <c r="Q77" s="342"/>
      <c r="R77" s="342"/>
      <c r="S77" s="342"/>
      <c r="T77" s="342"/>
      <c r="U77" s="342"/>
      <c r="V77" s="342"/>
      <c r="W77" s="342"/>
    </row>
    <row r="78" spans="1:23" ht="30">
      <c r="A78" s="244" t="s">
        <v>494</v>
      </c>
      <c r="B78" s="228">
        <f>ROUND(C78+D78+E78*2.9+F78*$H$1,0)</f>
        <v>0</v>
      </c>
      <c r="C78" s="348">
        <v>0</v>
      </c>
      <c r="D78" s="601">
        <v>0</v>
      </c>
      <c r="E78" s="601">
        <v>0</v>
      </c>
      <c r="F78" s="556">
        <v>0</v>
      </c>
      <c r="H78" s="618"/>
      <c r="P78" s="342"/>
      <c r="Q78" s="342"/>
      <c r="R78" s="342"/>
      <c r="S78" s="342"/>
      <c r="T78" s="342"/>
      <c r="U78" s="342"/>
      <c r="V78" s="342"/>
      <c r="W78" s="342"/>
    </row>
    <row r="79" spans="1:23" ht="15">
      <c r="A79" s="242" t="s">
        <v>34</v>
      </c>
      <c r="B79" s="228">
        <f t="shared" si="1"/>
        <v>3852</v>
      </c>
      <c r="C79" s="348">
        <v>1874</v>
      </c>
      <c r="D79" s="349">
        <v>1775</v>
      </c>
      <c r="E79" s="349">
        <v>70</v>
      </c>
      <c r="F79" s="556">
        <v>0</v>
      </c>
      <c r="H79" s="618"/>
      <c r="P79" s="342"/>
      <c r="Q79" s="342"/>
      <c r="R79" s="342"/>
      <c r="S79" s="342"/>
      <c r="T79" s="342"/>
      <c r="U79" s="342"/>
      <c r="V79" s="342"/>
      <c r="W79" s="342"/>
    </row>
    <row r="80" spans="1:23" ht="30">
      <c r="A80" s="244" t="s">
        <v>494</v>
      </c>
      <c r="B80" s="228">
        <f t="shared" si="1"/>
        <v>0</v>
      </c>
      <c r="C80" s="348">
        <v>0</v>
      </c>
      <c r="D80" s="601">
        <v>0</v>
      </c>
      <c r="E80" s="601">
        <v>0</v>
      </c>
      <c r="F80" s="556">
        <v>0</v>
      </c>
      <c r="H80" s="618"/>
      <c r="P80" s="342"/>
      <c r="Q80" s="342"/>
      <c r="R80" s="342"/>
      <c r="S80" s="342"/>
      <c r="T80" s="342"/>
      <c r="U80" s="342"/>
      <c r="V80" s="342"/>
      <c r="W80" s="342"/>
    </row>
    <row r="81" spans="1:23" ht="15">
      <c r="A81" s="242" t="s">
        <v>487</v>
      </c>
      <c r="B81" s="228">
        <f t="shared" si="1"/>
        <v>641</v>
      </c>
      <c r="C81" s="348">
        <v>502</v>
      </c>
      <c r="D81" s="349">
        <v>0</v>
      </c>
      <c r="E81" s="349">
        <v>48</v>
      </c>
      <c r="F81" s="556">
        <v>0</v>
      </c>
      <c r="H81" s="618"/>
      <c r="P81" s="342"/>
      <c r="Q81" s="342"/>
      <c r="R81" s="342"/>
      <c r="S81" s="342"/>
      <c r="T81" s="342"/>
      <c r="U81" s="342"/>
      <c r="V81" s="342"/>
      <c r="W81" s="342"/>
    </row>
    <row r="82" spans="1:23" s="240" customFormat="1" ht="30">
      <c r="A82" s="537" t="s">
        <v>488</v>
      </c>
      <c r="B82" s="266">
        <f>ROUND(C82*10+D82+E82*2.9+F82*$H$1,0)</f>
        <v>0</v>
      </c>
      <c r="C82" s="353">
        <v>0</v>
      </c>
      <c r="D82" s="601">
        <v>0</v>
      </c>
      <c r="E82" s="530">
        <v>0</v>
      </c>
      <c r="F82" s="556">
        <v>0</v>
      </c>
      <c r="H82" s="618"/>
      <c r="P82" s="472"/>
      <c r="Q82" s="472"/>
      <c r="R82" s="472"/>
      <c r="S82" s="472"/>
      <c r="T82" s="472"/>
      <c r="U82" s="472"/>
      <c r="V82" s="472"/>
      <c r="W82" s="472"/>
    </row>
    <row r="83" spans="1:23" s="240" customFormat="1" ht="30">
      <c r="A83" s="244" t="s">
        <v>494</v>
      </c>
      <c r="B83" s="228">
        <f>ROUND(C83+D83+E83*2.9+F83*$H$1,0)</f>
        <v>0</v>
      </c>
      <c r="C83" s="348">
        <v>0</v>
      </c>
      <c r="D83" s="601">
        <v>0</v>
      </c>
      <c r="E83" s="578">
        <v>0</v>
      </c>
      <c r="F83" s="557">
        <v>0</v>
      </c>
      <c r="H83" s="618"/>
      <c r="P83" s="472"/>
      <c r="Q83" s="472"/>
      <c r="R83" s="472"/>
      <c r="S83" s="472"/>
      <c r="T83" s="472"/>
      <c r="U83" s="472"/>
      <c r="V83" s="472"/>
      <c r="W83" s="472"/>
    </row>
    <row r="84" spans="1:23" ht="15">
      <c r="A84" s="243" t="s">
        <v>78</v>
      </c>
      <c r="B84" s="228">
        <f t="shared" si="1"/>
        <v>599</v>
      </c>
      <c r="C84" s="348">
        <v>150</v>
      </c>
      <c r="D84" s="349">
        <v>446</v>
      </c>
      <c r="E84" s="349">
        <v>1</v>
      </c>
      <c r="F84" s="556">
        <v>0</v>
      </c>
      <c r="H84" s="618"/>
      <c r="P84" s="342"/>
      <c r="Q84" s="342"/>
      <c r="R84" s="342"/>
      <c r="S84" s="342"/>
      <c r="T84" s="342"/>
      <c r="U84" s="342"/>
      <c r="V84" s="342"/>
      <c r="W84" s="342"/>
    </row>
    <row r="85" spans="1:23" ht="15">
      <c r="A85" s="242" t="s">
        <v>3</v>
      </c>
      <c r="B85" s="228">
        <f t="shared" si="1"/>
        <v>1800</v>
      </c>
      <c r="C85" s="348">
        <v>1768</v>
      </c>
      <c r="D85" s="349">
        <v>0</v>
      </c>
      <c r="E85" s="349">
        <v>11</v>
      </c>
      <c r="F85" s="556">
        <v>0</v>
      </c>
      <c r="H85" s="618"/>
      <c r="P85" s="342"/>
      <c r="Q85" s="342"/>
      <c r="R85" s="342"/>
      <c r="S85" s="342"/>
      <c r="T85" s="342"/>
      <c r="U85" s="342"/>
      <c r="V85" s="342"/>
      <c r="W85" s="342"/>
    </row>
    <row r="86" spans="1:23" ht="15">
      <c r="A86" s="242" t="s">
        <v>8</v>
      </c>
      <c r="B86" s="228">
        <f t="shared" si="1"/>
        <v>182</v>
      </c>
      <c r="C86" s="348">
        <v>130</v>
      </c>
      <c r="D86" s="349">
        <v>0</v>
      </c>
      <c r="E86" s="349">
        <v>18</v>
      </c>
      <c r="F86" s="556">
        <v>0</v>
      </c>
      <c r="H86" s="618"/>
      <c r="P86" s="342"/>
      <c r="Q86" s="342"/>
      <c r="R86" s="342"/>
      <c r="S86" s="342"/>
      <c r="T86" s="342"/>
      <c r="U86" s="342"/>
      <c r="V86" s="342"/>
      <c r="W86" s="342"/>
    </row>
    <row r="87" spans="1:23" ht="15">
      <c r="A87" s="244" t="s">
        <v>76</v>
      </c>
      <c r="B87" s="228">
        <f t="shared" si="1"/>
        <v>1745</v>
      </c>
      <c r="C87" s="348">
        <v>1368</v>
      </c>
      <c r="D87" s="349">
        <v>122</v>
      </c>
      <c r="E87" s="349">
        <v>88</v>
      </c>
      <c r="F87" s="556">
        <v>0</v>
      </c>
      <c r="H87" s="618"/>
      <c r="P87" s="342"/>
      <c r="Q87" s="342"/>
      <c r="R87" s="342"/>
      <c r="S87" s="342"/>
      <c r="T87" s="342"/>
      <c r="U87" s="342"/>
      <c r="V87" s="342"/>
      <c r="W87" s="342"/>
    </row>
    <row r="88" spans="1:23" ht="30">
      <c r="A88" s="244" t="s">
        <v>494</v>
      </c>
      <c r="B88" s="228">
        <f>ROUND(C88+D88+E88*2.9+F88*$H$1,0)</f>
        <v>0</v>
      </c>
      <c r="C88" s="348">
        <v>0</v>
      </c>
      <c r="D88" s="601">
        <v>0</v>
      </c>
      <c r="E88" s="578">
        <v>0</v>
      </c>
      <c r="F88" s="557">
        <v>0</v>
      </c>
      <c r="H88" s="618"/>
      <c r="P88" s="342"/>
      <c r="Q88" s="342"/>
      <c r="R88" s="342"/>
      <c r="S88" s="342"/>
      <c r="T88" s="342"/>
      <c r="U88" s="342"/>
      <c r="V88" s="342"/>
      <c r="W88" s="342"/>
    </row>
    <row r="89" spans="1:23" ht="15">
      <c r="A89" s="242" t="s">
        <v>2</v>
      </c>
      <c r="B89" s="228">
        <f t="shared" si="1"/>
        <v>1956</v>
      </c>
      <c r="C89" s="348">
        <v>1811</v>
      </c>
      <c r="D89" s="349">
        <v>0</v>
      </c>
      <c r="E89" s="349">
        <v>50</v>
      </c>
      <c r="F89" s="556">
        <v>0</v>
      </c>
      <c r="H89" s="618"/>
      <c r="P89" s="342"/>
      <c r="Q89" s="342"/>
      <c r="R89" s="342"/>
      <c r="S89" s="342"/>
      <c r="T89" s="342"/>
      <c r="U89" s="342"/>
      <c r="V89" s="342"/>
      <c r="W89" s="342"/>
    </row>
    <row r="90" spans="1:23" ht="30">
      <c r="A90" s="244" t="s">
        <v>494</v>
      </c>
      <c r="B90" s="228">
        <f>ROUND(C90+D90+E90*2.9+F90*$H$1,0)</f>
        <v>0</v>
      </c>
      <c r="C90" s="348">
        <v>0</v>
      </c>
      <c r="D90" s="601">
        <v>0</v>
      </c>
      <c r="E90" s="578">
        <v>0</v>
      </c>
      <c r="F90" s="557">
        <v>0</v>
      </c>
      <c r="H90" s="618"/>
      <c r="P90" s="342"/>
      <c r="Q90" s="342"/>
      <c r="R90" s="342"/>
      <c r="S90" s="342"/>
      <c r="T90" s="342"/>
      <c r="U90" s="342"/>
      <c r="V90" s="342"/>
      <c r="W90" s="342"/>
    </row>
    <row r="91" spans="1:23" ht="15">
      <c r="A91" s="238" t="s">
        <v>368</v>
      </c>
      <c r="B91" s="239">
        <f t="shared" si="1"/>
        <v>69565</v>
      </c>
      <c r="C91" s="348">
        <f>42328+C92</f>
        <v>52860</v>
      </c>
      <c r="D91" s="349">
        <v>4020</v>
      </c>
      <c r="E91" s="349">
        <v>4374</v>
      </c>
      <c r="F91" s="556">
        <v>0</v>
      </c>
      <c r="H91" s="618"/>
      <c r="J91" s="343"/>
      <c r="K91" s="227"/>
      <c r="N91" s="227"/>
      <c r="P91" s="342"/>
      <c r="Q91" s="342"/>
      <c r="R91" s="342"/>
      <c r="S91" s="342"/>
      <c r="T91" s="342"/>
      <c r="U91" s="342"/>
      <c r="V91" s="342"/>
      <c r="W91" s="342"/>
    </row>
    <row r="92" spans="1:23" s="260" customFormat="1" ht="30.75" customHeight="1">
      <c r="A92" s="258" t="s">
        <v>394</v>
      </c>
      <c r="B92" s="259">
        <f t="shared" si="1"/>
        <v>10532</v>
      </c>
      <c r="C92" s="353">
        <f>C93+C94+C95</f>
        <v>10532</v>
      </c>
      <c r="D92" s="530">
        <v>0</v>
      </c>
      <c r="E92" s="530">
        <v>0</v>
      </c>
      <c r="F92" s="556">
        <v>0</v>
      </c>
      <c r="G92" s="226"/>
      <c r="H92" s="618"/>
      <c r="I92" s="261"/>
      <c r="J92" s="261"/>
      <c r="K92" s="261"/>
      <c r="N92" s="261"/>
      <c r="P92" s="342"/>
      <c r="Q92" s="342"/>
      <c r="R92" s="342"/>
      <c r="S92" s="342"/>
      <c r="T92" s="342"/>
      <c r="U92" s="342"/>
      <c r="V92" s="342"/>
      <c r="W92" s="342"/>
    </row>
    <row r="93" spans="1:23" s="260" customFormat="1" ht="29.25" customHeight="1">
      <c r="A93" s="537" t="s">
        <v>145</v>
      </c>
      <c r="B93" s="259">
        <f t="shared" si="1"/>
        <v>106</v>
      </c>
      <c r="C93" s="353">
        <v>106</v>
      </c>
      <c r="D93" s="530">
        <v>0</v>
      </c>
      <c r="E93" s="530">
        <v>0</v>
      </c>
      <c r="F93" s="556">
        <v>0</v>
      </c>
      <c r="G93" s="226"/>
      <c r="H93" s="618"/>
      <c r="I93" s="261"/>
      <c r="J93" s="261"/>
      <c r="K93" s="261"/>
      <c r="N93" s="261"/>
      <c r="P93" s="342"/>
      <c r="Q93" s="342"/>
      <c r="R93" s="342"/>
      <c r="S93" s="342"/>
      <c r="T93" s="342"/>
      <c r="U93" s="342"/>
      <c r="V93" s="342"/>
      <c r="W93" s="342"/>
    </row>
    <row r="94" spans="1:23" s="260" customFormat="1" ht="31.5" customHeight="1">
      <c r="A94" s="537" t="s">
        <v>146</v>
      </c>
      <c r="B94" s="259">
        <f t="shared" si="1"/>
        <v>62</v>
      </c>
      <c r="C94" s="353">
        <v>62</v>
      </c>
      <c r="D94" s="530">
        <v>0</v>
      </c>
      <c r="E94" s="530">
        <v>0</v>
      </c>
      <c r="F94" s="556">
        <v>0</v>
      </c>
      <c r="G94" s="226"/>
      <c r="H94" s="618"/>
      <c r="I94" s="261"/>
      <c r="J94" s="261"/>
      <c r="K94" s="261"/>
      <c r="N94" s="261"/>
      <c r="P94" s="342"/>
      <c r="Q94" s="342"/>
      <c r="R94" s="342"/>
      <c r="S94" s="342"/>
      <c r="T94" s="342"/>
      <c r="U94" s="342"/>
      <c r="V94" s="342"/>
      <c r="W94" s="342"/>
    </row>
    <row r="95" spans="1:23" s="240" customFormat="1" ht="24.75" customHeight="1">
      <c r="A95" s="537" t="s">
        <v>147</v>
      </c>
      <c r="B95" s="259">
        <f t="shared" si="1"/>
        <v>10364</v>
      </c>
      <c r="C95" s="307">
        <v>10364</v>
      </c>
      <c r="D95" s="530">
        <v>0</v>
      </c>
      <c r="E95" s="530">
        <v>0</v>
      </c>
      <c r="F95" s="556">
        <v>0</v>
      </c>
      <c r="G95" s="226"/>
      <c r="H95" s="618"/>
      <c r="I95" s="241"/>
      <c r="J95" s="241"/>
      <c r="K95" s="241"/>
      <c r="N95" s="241"/>
      <c r="P95" s="342"/>
      <c r="Q95" s="342"/>
      <c r="R95" s="342"/>
      <c r="S95" s="342"/>
      <c r="T95" s="342"/>
      <c r="U95" s="342"/>
      <c r="V95" s="342"/>
      <c r="W95" s="342"/>
    </row>
    <row r="96" spans="1:23" ht="15" customHeight="1">
      <c r="A96" s="242" t="s">
        <v>423</v>
      </c>
      <c r="B96" s="228">
        <f t="shared" si="1"/>
        <v>2521</v>
      </c>
      <c r="C96" s="348">
        <v>1937</v>
      </c>
      <c r="D96" s="349">
        <v>436</v>
      </c>
      <c r="E96" s="349">
        <v>51</v>
      </c>
      <c r="F96" s="556">
        <v>0</v>
      </c>
      <c r="H96" s="618"/>
      <c r="J96" s="343"/>
      <c r="P96" s="342"/>
      <c r="Q96" s="342"/>
      <c r="R96" s="342"/>
      <c r="S96" s="342"/>
      <c r="T96" s="342"/>
      <c r="U96" s="342"/>
      <c r="V96" s="342"/>
      <c r="W96" s="342"/>
    </row>
    <row r="97" spans="1:23" ht="30" customHeight="1">
      <c r="A97" s="244" t="s">
        <v>494</v>
      </c>
      <c r="B97" s="228">
        <f>ROUND(C97+D97+E97*2.9+F97*$H$1,0)</f>
        <v>0</v>
      </c>
      <c r="C97" s="348"/>
      <c r="D97" s="601">
        <v>0</v>
      </c>
      <c r="E97" s="601">
        <v>0</v>
      </c>
      <c r="F97" s="556">
        <v>0</v>
      </c>
      <c r="H97" s="618"/>
      <c r="J97" s="343"/>
      <c r="P97" s="342"/>
      <c r="Q97" s="342"/>
      <c r="R97" s="342"/>
      <c r="S97" s="342"/>
      <c r="T97" s="342"/>
      <c r="U97" s="342"/>
      <c r="V97" s="342"/>
      <c r="W97" s="342"/>
    </row>
    <row r="98" spans="1:23" ht="30.75" thickBot="1">
      <c r="A98" s="244" t="s">
        <v>504</v>
      </c>
      <c r="B98" s="228">
        <f t="shared" si="1"/>
        <v>7294</v>
      </c>
      <c r="C98" s="348">
        <v>7059</v>
      </c>
      <c r="D98" s="349">
        <v>0</v>
      </c>
      <c r="E98" s="349">
        <v>81</v>
      </c>
      <c r="F98" s="556">
        <v>0</v>
      </c>
      <c r="G98" s="227"/>
      <c r="H98" s="618"/>
      <c r="I98" s="227"/>
      <c r="P98" s="342"/>
      <c r="Q98" s="342"/>
      <c r="R98" s="342"/>
      <c r="S98" s="342"/>
      <c r="T98" s="342"/>
      <c r="U98" s="342"/>
      <c r="V98" s="342"/>
      <c r="W98" s="342"/>
    </row>
    <row r="99" spans="1:23" ht="17.25" customHeight="1">
      <c r="A99" s="579" t="s">
        <v>484</v>
      </c>
      <c r="B99" s="580">
        <f>SUM(B73:B77,B79,B81,B84:B87,B89,B91,B96,B98)</f>
        <v>91444</v>
      </c>
      <c r="C99" s="580">
        <f>SUM(C73:C77,C79,C81,C84:C87,C89,C91,C96,C98)</f>
        <v>70611</v>
      </c>
      <c r="D99" s="580">
        <f>SUM(D73:D77,D79,D81,D84:D87,D89,D91,D96,D98)</f>
        <v>6805</v>
      </c>
      <c r="E99" s="580">
        <f>SUM(E73:E77,E79,E81,E84:E87,E89,E91,E96,E98)</f>
        <v>4837</v>
      </c>
      <c r="F99" s="584">
        <f>SUM(F73:F77,F79,F81,F84:F87,F89,F91,F96,F98)</f>
        <v>0</v>
      </c>
      <c r="G99" s="341"/>
      <c r="H99" s="341">
        <f>60079+10532</f>
        <v>70611</v>
      </c>
      <c r="I99" s="343">
        <v>6805</v>
      </c>
      <c r="J99" s="341">
        <v>4837</v>
      </c>
      <c r="K99" s="343">
        <v>0</v>
      </c>
      <c r="L99" s="227"/>
      <c r="M99" s="227"/>
      <c r="P99" s="227"/>
      <c r="Q99" s="341"/>
      <c r="R99" s="341"/>
      <c r="S99" s="341"/>
      <c r="T99" s="341"/>
      <c r="U99" s="341"/>
      <c r="V99" s="341"/>
      <c r="W99" s="341"/>
    </row>
    <row r="100" spans="1:23" ht="29.25" customHeight="1" thickBot="1">
      <c r="A100" s="602" t="s">
        <v>494</v>
      </c>
      <c r="B100" s="239">
        <f>ROUND(C100+D100+E100*2.9+F100*$H$1,0)</f>
        <v>0</v>
      </c>
      <c r="C100" s="359">
        <f>C97+C90+C88+C83+C80+C78</f>
        <v>0</v>
      </c>
      <c r="D100" s="603">
        <v>0</v>
      </c>
      <c r="E100" s="603">
        <v>0</v>
      </c>
      <c r="F100" s="573">
        <v>0</v>
      </c>
      <c r="G100" s="341"/>
      <c r="H100" s="341">
        <f>H99-C99</f>
        <v>0</v>
      </c>
      <c r="I100" s="341">
        <f>I99-D99</f>
        <v>0</v>
      </c>
      <c r="J100" s="341">
        <f>J99-E99</f>
        <v>0</v>
      </c>
      <c r="K100" s="341">
        <f>K99-F99</f>
        <v>0</v>
      </c>
      <c r="L100" s="227"/>
      <c r="M100" s="227"/>
      <c r="P100" s="227"/>
      <c r="Q100" s="341"/>
      <c r="R100" s="341"/>
      <c r="S100" s="341"/>
      <c r="T100" s="341"/>
      <c r="U100" s="341"/>
      <c r="V100" s="341"/>
      <c r="W100" s="341"/>
    </row>
    <row r="101" spans="1:11" ht="25.5" customHeight="1">
      <c r="A101" s="655" t="s">
        <v>500</v>
      </c>
      <c r="B101" s="656"/>
      <c r="C101" s="656"/>
      <c r="D101" s="656"/>
      <c r="E101" s="656"/>
      <c r="F101" s="657"/>
      <c r="G101" s="341"/>
      <c r="H101" s="341"/>
      <c r="I101" s="341"/>
      <c r="J101" s="341"/>
      <c r="K101" s="341"/>
    </row>
    <row r="102" spans="1:17" ht="15.75" customHeight="1">
      <c r="A102" s="237" t="s">
        <v>38</v>
      </c>
      <c r="B102" s="239">
        <f aca="true" t="shared" si="2" ref="B102:B107">ROUND(C102+D102+E102*2.9+F102*$H$1,0)</f>
        <v>33345</v>
      </c>
      <c r="C102" s="344">
        <f>20112-2900</f>
        <v>17212</v>
      </c>
      <c r="D102" s="345">
        <v>1140</v>
      </c>
      <c r="E102" s="345">
        <f>3711+1000</f>
        <v>4711</v>
      </c>
      <c r="F102" s="560">
        <f>1331</f>
        <v>1331</v>
      </c>
      <c r="H102" s="618"/>
      <c r="I102" s="227"/>
      <c r="J102" s="227"/>
      <c r="K102" s="227"/>
      <c r="O102" s="227"/>
      <c r="Q102" s="227"/>
    </row>
    <row r="103" spans="1:11" ht="15.75" customHeight="1">
      <c r="A103" s="245" t="s">
        <v>108</v>
      </c>
      <c r="B103" s="228">
        <f t="shared" si="2"/>
        <v>2470</v>
      </c>
      <c r="C103" s="347">
        <v>888</v>
      </c>
      <c r="D103" s="345">
        <v>10</v>
      </c>
      <c r="E103" s="345">
        <v>542</v>
      </c>
      <c r="F103" s="346"/>
      <c r="H103" s="618"/>
      <c r="I103" s="227"/>
      <c r="J103" s="227"/>
      <c r="K103" s="227"/>
    </row>
    <row r="104" spans="1:11" ht="21" customHeight="1">
      <c r="A104" s="245" t="s">
        <v>507</v>
      </c>
      <c r="B104" s="228">
        <f t="shared" si="2"/>
        <v>1482</v>
      </c>
      <c r="C104" s="347">
        <v>1482</v>
      </c>
      <c r="D104" s="345">
        <v>0</v>
      </c>
      <c r="E104" s="345">
        <v>0</v>
      </c>
      <c r="F104" s="346"/>
      <c r="H104" s="618"/>
      <c r="I104" s="227"/>
      <c r="J104" s="227"/>
      <c r="K104" s="227"/>
    </row>
    <row r="105" spans="1:11" ht="36.75" customHeight="1">
      <c r="A105" s="245" t="s">
        <v>506</v>
      </c>
      <c r="B105" s="228">
        <f t="shared" si="2"/>
        <v>902</v>
      </c>
      <c r="C105" s="347">
        <v>864</v>
      </c>
      <c r="D105" s="345">
        <v>0</v>
      </c>
      <c r="E105" s="345">
        <v>13</v>
      </c>
      <c r="F105" s="346"/>
      <c r="H105" s="618"/>
      <c r="I105" s="227"/>
      <c r="J105" s="227"/>
      <c r="K105" s="227"/>
    </row>
    <row r="106" spans="1:11" ht="27" customHeight="1">
      <c r="A106" s="245" t="s">
        <v>505</v>
      </c>
      <c r="B106" s="228">
        <f t="shared" si="2"/>
        <v>1000</v>
      </c>
      <c r="C106" s="348">
        <v>1000</v>
      </c>
      <c r="D106" s="448"/>
      <c r="E106" s="448"/>
      <c r="F106" s="561"/>
      <c r="H106" s="618"/>
      <c r="I106" s="227"/>
      <c r="J106" s="227"/>
      <c r="K106" s="227"/>
    </row>
    <row r="107" spans="1:11" ht="27" customHeight="1">
      <c r="A107" s="238" t="s">
        <v>77</v>
      </c>
      <c r="B107" s="239">
        <f t="shared" si="2"/>
        <v>1266</v>
      </c>
      <c r="C107" s="359">
        <v>387</v>
      </c>
      <c r="D107" s="359">
        <v>0</v>
      </c>
      <c r="E107" s="359">
        <v>303</v>
      </c>
      <c r="F107" s="573">
        <v>0</v>
      </c>
      <c r="G107" s="227"/>
      <c r="H107" s="618"/>
      <c r="I107" s="227"/>
      <c r="J107" s="227"/>
      <c r="K107" s="227"/>
    </row>
    <row r="108" spans="1:11" ht="27" customHeight="1">
      <c r="A108" s="242" t="s">
        <v>9</v>
      </c>
      <c r="B108" s="228">
        <f>ROUND(C108+D108+E108*2.9+F108*$H$1,0)-1</f>
        <v>373</v>
      </c>
      <c r="C108" s="359">
        <v>40</v>
      </c>
      <c r="D108" s="359">
        <v>0</v>
      </c>
      <c r="E108" s="359">
        <v>115</v>
      </c>
      <c r="F108" s="556">
        <v>0</v>
      </c>
      <c r="G108" s="227"/>
      <c r="H108" s="618"/>
      <c r="I108" s="227"/>
      <c r="J108" s="227"/>
      <c r="K108" s="227"/>
    </row>
    <row r="109" spans="1:11" ht="27" customHeight="1">
      <c r="A109" s="238" t="s">
        <v>72</v>
      </c>
      <c r="B109" s="228">
        <f>ROUND(C109+D109+E109*2.9+F109*$H$1,0)-1</f>
        <v>1314</v>
      </c>
      <c r="C109" s="359">
        <v>517</v>
      </c>
      <c r="D109" s="359">
        <v>0</v>
      </c>
      <c r="E109" s="359">
        <v>275</v>
      </c>
      <c r="F109" s="556">
        <v>0</v>
      </c>
      <c r="G109" s="227"/>
      <c r="H109" s="618"/>
      <c r="I109" s="227"/>
      <c r="J109" s="227"/>
      <c r="K109" s="227"/>
    </row>
    <row r="110" spans="1:11" ht="27" customHeight="1">
      <c r="A110" s="242" t="s">
        <v>424</v>
      </c>
      <c r="B110" s="228">
        <f>ROUND(C110+D110+E110*2.9+F110*$H$1,0)</f>
        <v>1264</v>
      </c>
      <c r="C110" s="359">
        <v>420</v>
      </c>
      <c r="D110" s="359">
        <v>0</v>
      </c>
      <c r="E110" s="359">
        <v>291</v>
      </c>
      <c r="F110" s="556">
        <v>0</v>
      </c>
      <c r="G110" s="227"/>
      <c r="H110" s="618"/>
      <c r="I110" s="227"/>
      <c r="J110" s="227"/>
      <c r="K110" s="227"/>
    </row>
    <row r="111" spans="1:11" ht="27" customHeight="1">
      <c r="A111" s="242" t="s">
        <v>227</v>
      </c>
      <c r="B111" s="228">
        <f>ROUND(C111+D111+E111*2.9+F111*$H$1,0)-1</f>
        <v>1942</v>
      </c>
      <c r="C111" s="359">
        <v>712</v>
      </c>
      <c r="D111" s="359">
        <v>30</v>
      </c>
      <c r="E111" s="359">
        <v>414</v>
      </c>
      <c r="F111" s="556">
        <v>0</v>
      </c>
      <c r="G111" s="227"/>
      <c r="H111" s="618"/>
      <c r="I111" s="227"/>
      <c r="J111" s="227"/>
      <c r="K111" s="227"/>
    </row>
    <row r="112" spans="1:11" ht="27" customHeight="1">
      <c r="A112" s="244" t="s">
        <v>494</v>
      </c>
      <c r="B112" s="228">
        <f>ROUND(C112+D112+E112*2.9+F112*$H$1,0)</f>
        <v>110</v>
      </c>
      <c r="C112" s="359">
        <v>110</v>
      </c>
      <c r="D112" s="359">
        <v>0</v>
      </c>
      <c r="E112" s="359">
        <v>0</v>
      </c>
      <c r="F112" s="556">
        <v>0</v>
      </c>
      <c r="G112" s="227"/>
      <c r="H112" s="618"/>
      <c r="I112" s="227"/>
      <c r="J112" s="227"/>
      <c r="K112" s="227"/>
    </row>
    <row r="113" spans="1:11" ht="27" customHeight="1">
      <c r="A113" s="242" t="s">
        <v>34</v>
      </c>
      <c r="B113" s="228">
        <f>ROUND(C113+D113+E113*2.9+F113*$H$1,0)</f>
        <v>4245</v>
      </c>
      <c r="C113" s="359">
        <v>2407</v>
      </c>
      <c r="D113" s="359">
        <v>1725</v>
      </c>
      <c r="E113" s="359">
        <v>39</v>
      </c>
      <c r="F113" s="556">
        <v>0</v>
      </c>
      <c r="G113" s="227"/>
      <c r="H113" s="618"/>
      <c r="I113" s="227"/>
      <c r="J113" s="227"/>
      <c r="K113" s="227"/>
    </row>
    <row r="114" spans="1:11" ht="27" customHeight="1">
      <c r="A114" s="244" t="s">
        <v>494</v>
      </c>
      <c r="B114" s="228">
        <f>ROUND(C114+D114+E114*2.9+F114*$H$1,0)</f>
        <v>180</v>
      </c>
      <c r="C114" s="359">
        <v>180</v>
      </c>
      <c r="D114" s="359">
        <v>0</v>
      </c>
      <c r="E114" s="359">
        <v>0</v>
      </c>
      <c r="F114" s="556">
        <v>0</v>
      </c>
      <c r="G114" s="227"/>
      <c r="H114" s="618"/>
      <c r="I114" s="227"/>
      <c r="J114" s="227"/>
      <c r="K114" s="227"/>
    </row>
    <row r="115" spans="1:11" ht="27" customHeight="1">
      <c r="A115" s="242" t="s">
        <v>487</v>
      </c>
      <c r="B115" s="228">
        <f>ROUND(C115+D115+E115*2.9+F115*$H$1,0)-1</f>
        <v>3451</v>
      </c>
      <c r="C115" s="359">
        <v>1381</v>
      </c>
      <c r="D115" s="359">
        <v>0</v>
      </c>
      <c r="E115" s="359">
        <v>714</v>
      </c>
      <c r="F115" s="556">
        <v>0</v>
      </c>
      <c r="G115" s="227"/>
      <c r="H115" s="618"/>
      <c r="I115" s="227"/>
      <c r="J115" s="227"/>
      <c r="K115" s="227"/>
    </row>
    <row r="116" spans="1:11" ht="27" customHeight="1">
      <c r="A116" s="537" t="s">
        <v>488</v>
      </c>
      <c r="B116" s="266">
        <f>ROUND(C116*10+D116+E116*2.9+F116*$H$1,0)</f>
        <v>300</v>
      </c>
      <c r="C116" s="359">
        <v>30</v>
      </c>
      <c r="D116" s="359">
        <v>0</v>
      </c>
      <c r="E116" s="359">
        <v>0</v>
      </c>
      <c r="F116" s="556">
        <v>0</v>
      </c>
      <c r="G116" s="227"/>
      <c r="H116" s="618"/>
      <c r="I116" s="227"/>
      <c r="J116" s="227"/>
      <c r="K116" s="227"/>
    </row>
    <row r="117" spans="1:11" ht="27" customHeight="1">
      <c r="A117" s="244" t="s">
        <v>494</v>
      </c>
      <c r="B117" s="228">
        <f aca="true" t="shared" si="3" ref="B117:B124">ROUND(C117+D117+E117*2.9+F117*$H$1,0)</f>
        <v>240</v>
      </c>
      <c r="C117" s="359">
        <v>240</v>
      </c>
      <c r="D117" s="359">
        <v>0</v>
      </c>
      <c r="E117" s="359">
        <v>0</v>
      </c>
      <c r="F117" s="557">
        <v>0</v>
      </c>
      <c r="G117" s="227"/>
      <c r="H117" s="618"/>
      <c r="I117" s="227"/>
      <c r="J117" s="227"/>
      <c r="K117" s="227"/>
    </row>
    <row r="118" spans="1:11" ht="27" customHeight="1">
      <c r="A118" s="243" t="s">
        <v>78</v>
      </c>
      <c r="B118" s="228">
        <f t="shared" si="3"/>
        <v>2064</v>
      </c>
      <c r="C118" s="359">
        <v>782</v>
      </c>
      <c r="D118" s="359">
        <v>221</v>
      </c>
      <c r="E118" s="359">
        <v>366</v>
      </c>
      <c r="F118" s="556">
        <v>0</v>
      </c>
      <c r="G118" s="227"/>
      <c r="H118" s="618"/>
      <c r="I118" s="227"/>
      <c r="J118" s="227"/>
      <c r="K118" s="227"/>
    </row>
    <row r="119" spans="1:11" ht="27" customHeight="1">
      <c r="A119" s="242" t="s">
        <v>3</v>
      </c>
      <c r="B119" s="228">
        <f t="shared" si="3"/>
        <v>7983</v>
      </c>
      <c r="C119" s="359">
        <v>2732</v>
      </c>
      <c r="D119" s="359">
        <v>5</v>
      </c>
      <c r="E119" s="359">
        <v>1809</v>
      </c>
      <c r="F119" s="556">
        <v>0</v>
      </c>
      <c r="G119" s="227"/>
      <c r="H119" s="618"/>
      <c r="I119" s="227"/>
      <c r="J119" s="227"/>
      <c r="K119" s="227"/>
    </row>
    <row r="120" spans="1:11" ht="27" customHeight="1">
      <c r="A120" s="242" t="s">
        <v>8</v>
      </c>
      <c r="B120" s="228">
        <f t="shared" si="3"/>
        <v>285</v>
      </c>
      <c r="C120" s="359">
        <v>85</v>
      </c>
      <c r="D120" s="359">
        <v>0</v>
      </c>
      <c r="E120" s="359">
        <v>69</v>
      </c>
      <c r="F120" s="556">
        <v>0</v>
      </c>
      <c r="G120" s="227"/>
      <c r="H120" s="618"/>
      <c r="I120" s="227"/>
      <c r="J120" s="227"/>
      <c r="K120" s="227"/>
    </row>
    <row r="121" spans="1:11" ht="27" customHeight="1">
      <c r="A121" s="244" t="s">
        <v>76</v>
      </c>
      <c r="B121" s="228">
        <f t="shared" si="3"/>
        <v>5331</v>
      </c>
      <c r="C121" s="617">
        <f>1923-109</f>
        <v>1814</v>
      </c>
      <c r="D121" s="359">
        <v>78</v>
      </c>
      <c r="E121" s="617">
        <f>1269-83</f>
        <v>1186</v>
      </c>
      <c r="F121" s="556">
        <v>0</v>
      </c>
      <c r="G121" s="227"/>
      <c r="H121" s="618"/>
      <c r="I121" s="227"/>
      <c r="J121" s="227"/>
      <c r="K121" s="227"/>
    </row>
    <row r="122" spans="1:11" ht="27" customHeight="1">
      <c r="A122" s="244" t="s">
        <v>494</v>
      </c>
      <c r="B122" s="228">
        <f t="shared" si="3"/>
        <v>495</v>
      </c>
      <c r="C122" s="359">
        <v>495</v>
      </c>
      <c r="D122" s="359">
        <v>0</v>
      </c>
      <c r="E122" s="359">
        <v>0</v>
      </c>
      <c r="F122" s="557">
        <v>0</v>
      </c>
      <c r="G122" s="227"/>
      <c r="H122" s="618"/>
      <c r="I122" s="227"/>
      <c r="J122" s="227"/>
      <c r="K122" s="227"/>
    </row>
    <row r="123" spans="1:11" ht="27" customHeight="1">
      <c r="A123" s="242" t="s">
        <v>2</v>
      </c>
      <c r="B123" s="228">
        <f t="shared" si="3"/>
        <v>5311</v>
      </c>
      <c r="C123" s="617">
        <f>1948-166</f>
        <v>1782</v>
      </c>
      <c r="D123" s="359">
        <v>0</v>
      </c>
      <c r="E123" s="617">
        <f>1453-236</f>
        <v>1217</v>
      </c>
      <c r="F123" s="556">
        <v>0</v>
      </c>
      <c r="G123" s="227"/>
      <c r="H123" s="618"/>
      <c r="I123" s="227"/>
      <c r="J123" s="227"/>
      <c r="K123" s="227"/>
    </row>
    <row r="124" spans="1:11" ht="27" customHeight="1">
      <c r="A124" s="244" t="s">
        <v>494</v>
      </c>
      <c r="B124" s="228">
        <f t="shared" si="3"/>
        <v>380</v>
      </c>
      <c r="C124" s="359">
        <v>380</v>
      </c>
      <c r="D124" s="359">
        <v>0</v>
      </c>
      <c r="E124" s="359">
        <v>0</v>
      </c>
      <c r="F124" s="557">
        <v>0</v>
      </c>
      <c r="G124" s="227"/>
      <c r="H124" s="618"/>
      <c r="I124" s="227"/>
      <c r="J124" s="227"/>
      <c r="K124" s="227"/>
    </row>
    <row r="125" spans="1:11" ht="27" customHeight="1">
      <c r="A125" s="238" t="s">
        <v>368</v>
      </c>
      <c r="B125" s="239">
        <f>ROUND(C125+D125+E125*2.9+F125*$H$1,0)</f>
        <v>61697</v>
      </c>
      <c r="C125" s="359">
        <f>7557+2900</f>
        <v>10457</v>
      </c>
      <c r="D125" s="359">
        <v>11646</v>
      </c>
      <c r="E125" s="359">
        <f>14653-1000</f>
        <v>13653</v>
      </c>
      <c r="F125" s="619">
        <v>0</v>
      </c>
      <c r="G125" s="227"/>
      <c r="H125" s="618"/>
      <c r="I125" s="227"/>
      <c r="J125" s="227"/>
      <c r="K125" s="227"/>
    </row>
    <row r="126" spans="1:11" ht="27" customHeight="1">
      <c r="A126" s="258" t="s">
        <v>394</v>
      </c>
      <c r="B126" s="259">
        <f>ROUND(C126+D126+E126*2.9+F126*$H$1,0)</f>
        <v>8207</v>
      </c>
      <c r="C126" s="620">
        <v>8207</v>
      </c>
      <c r="D126" s="620">
        <v>0</v>
      </c>
      <c r="E126" s="620">
        <v>0</v>
      </c>
      <c r="F126" s="621">
        <v>0</v>
      </c>
      <c r="G126" s="227"/>
      <c r="H126" s="618"/>
      <c r="I126" s="227"/>
      <c r="J126" s="227"/>
      <c r="K126" s="227"/>
    </row>
    <row r="127" spans="1:11" ht="27" customHeight="1">
      <c r="A127" s="537" t="s">
        <v>145</v>
      </c>
      <c r="B127" s="259">
        <f>ROUND(C127+D127+E127*2.9+F127*$H$1,0)</f>
        <v>28</v>
      </c>
      <c r="C127" s="620">
        <v>28</v>
      </c>
      <c r="D127" s="620">
        <v>0</v>
      </c>
      <c r="E127" s="620">
        <v>0</v>
      </c>
      <c r="F127" s="621">
        <v>0</v>
      </c>
      <c r="G127" s="227"/>
      <c r="H127" s="618"/>
      <c r="I127" s="227"/>
      <c r="J127" s="227"/>
      <c r="K127" s="227"/>
    </row>
    <row r="128" spans="1:11" ht="27" customHeight="1">
      <c r="A128" s="537" t="s">
        <v>146</v>
      </c>
      <c r="B128" s="259">
        <f>ROUND(C128+D128+E128*2.9+F128*$H$1,0)</f>
        <v>38</v>
      </c>
      <c r="C128" s="620">
        <v>38</v>
      </c>
      <c r="D128" s="620">
        <v>0</v>
      </c>
      <c r="E128" s="620">
        <v>0</v>
      </c>
      <c r="F128" s="621">
        <v>0</v>
      </c>
      <c r="G128" s="227"/>
      <c r="H128" s="618"/>
      <c r="I128" s="227"/>
      <c r="J128" s="227"/>
      <c r="K128" s="227"/>
    </row>
    <row r="129" spans="1:11" ht="27" customHeight="1">
      <c r="A129" s="537" t="s">
        <v>147</v>
      </c>
      <c r="B129" s="259">
        <f>ROUND(C129+D129+E129*2.9+F129*$H$1,0)</f>
        <v>8141</v>
      </c>
      <c r="C129" s="620">
        <v>8141</v>
      </c>
      <c r="D129" s="620">
        <v>0</v>
      </c>
      <c r="E129" s="620">
        <v>0</v>
      </c>
      <c r="F129" s="621">
        <v>0</v>
      </c>
      <c r="G129" s="227"/>
      <c r="H129" s="618"/>
      <c r="I129" s="227"/>
      <c r="J129" s="227"/>
      <c r="K129" s="227"/>
    </row>
    <row r="130" spans="1:11" ht="27" customHeight="1">
      <c r="A130" s="242" t="s">
        <v>423</v>
      </c>
      <c r="B130" s="228">
        <f>ROUND(C130+D130+E130*2.9+F130*$H$1,0)-1</f>
        <v>4742</v>
      </c>
      <c r="C130" s="359">
        <v>1404</v>
      </c>
      <c r="D130" s="359">
        <v>946</v>
      </c>
      <c r="E130" s="359">
        <v>825</v>
      </c>
      <c r="F130" s="556">
        <v>0</v>
      </c>
      <c r="G130" s="227"/>
      <c r="H130" s="618"/>
      <c r="I130" s="227"/>
      <c r="J130" s="227"/>
      <c r="K130" s="227"/>
    </row>
    <row r="131" spans="1:11" ht="29.25" customHeight="1">
      <c r="A131" s="244" t="s">
        <v>494</v>
      </c>
      <c r="B131" s="228">
        <f>ROUND(C131+D131+E131*2.9+F131*$H$1,0)</f>
        <v>200</v>
      </c>
      <c r="C131" s="359">
        <v>200</v>
      </c>
      <c r="D131" s="359">
        <v>0</v>
      </c>
      <c r="E131" s="359">
        <v>0</v>
      </c>
      <c r="F131" s="556">
        <v>0</v>
      </c>
      <c r="H131" s="618"/>
      <c r="I131" s="227"/>
      <c r="J131" s="227"/>
      <c r="K131" s="227"/>
    </row>
    <row r="132" spans="1:11" ht="32.25" customHeight="1" thickBot="1">
      <c r="A132" s="244" t="s">
        <v>504</v>
      </c>
      <c r="B132" s="228">
        <f>ROUND(C132+D132+E132*2.9+F132*$H$1,0)</f>
        <v>7454</v>
      </c>
      <c r="C132" s="359">
        <v>7183</v>
      </c>
      <c r="D132" s="359">
        <v>100</v>
      </c>
      <c r="E132" s="359">
        <v>59</v>
      </c>
      <c r="F132" s="556">
        <v>0</v>
      </c>
      <c r="G132" s="227"/>
      <c r="H132" s="618"/>
      <c r="I132" s="227"/>
      <c r="J132" s="227"/>
      <c r="K132" s="227"/>
    </row>
    <row r="133" spans="1:11" ht="30" customHeight="1">
      <c r="A133" s="579" t="s">
        <v>499</v>
      </c>
      <c r="B133" s="580">
        <f>SUM(B107:B111,B113,B115,B118:B121,B123,B125,B130,B132,B102:B106)</f>
        <v>147921</v>
      </c>
      <c r="C133" s="580">
        <f>SUM(C107:C111,C113,C115,C118:C121,C123,C125,C130,C132,C102:C106)</f>
        <v>53549</v>
      </c>
      <c r="D133" s="268">
        <f>SUM(D107:D111,D113,D115,D118:D121,D123,D125,D130,D132,D102:D106)</f>
        <v>15901</v>
      </c>
      <c r="E133" s="268">
        <f>SUM(E107:E111,E113,E115,E118:E121,E123,E125,E130,E132,E102:E106)</f>
        <v>26601</v>
      </c>
      <c r="F133" s="581">
        <f>SUM(F107:F111,F113,F115,F118:F121,F123,F125,F130,F132,F102:F106)</f>
        <v>1331</v>
      </c>
      <c r="G133" s="341"/>
      <c r="H133" s="341"/>
      <c r="I133" s="341"/>
      <c r="J133" s="341"/>
      <c r="K133" s="341"/>
    </row>
    <row r="134" spans="1:11" ht="32.25" customHeight="1" thickBot="1">
      <c r="A134" s="602" t="s">
        <v>494</v>
      </c>
      <c r="B134" s="239">
        <f>ROUND(C134+D134+E134*2.9+F134*$H$1,0)</f>
        <v>1605</v>
      </c>
      <c r="C134" s="359">
        <f>C131+C124+C122+C117+C114+C112</f>
        <v>1605</v>
      </c>
      <c r="D134" s="603">
        <v>0</v>
      </c>
      <c r="E134" s="603">
        <v>0</v>
      </c>
      <c r="F134" s="573">
        <v>0</v>
      </c>
      <c r="G134" s="341"/>
      <c r="H134" s="341"/>
      <c r="I134" s="341"/>
      <c r="J134" s="341"/>
      <c r="K134" s="341"/>
    </row>
    <row r="135" spans="1:6" ht="15" hidden="1">
      <c r="A135" s="231"/>
      <c r="B135" s="228"/>
      <c r="C135" s="304"/>
      <c r="D135" s="302"/>
      <c r="E135" s="303"/>
      <c r="F135" s="346"/>
    </row>
    <row r="136" spans="1:6" ht="15" hidden="1">
      <c r="A136" s="245"/>
      <c r="B136" s="228"/>
      <c r="C136" s="304"/>
      <c r="D136" s="302"/>
      <c r="E136" s="303"/>
      <c r="F136" s="346"/>
    </row>
    <row r="137" spans="1:7" s="263" customFormat="1" ht="15" hidden="1">
      <c r="A137" s="258"/>
      <c r="B137" s="259"/>
      <c r="C137" s="307"/>
      <c r="D137" s="308"/>
      <c r="E137" s="309"/>
      <c r="F137" s="565"/>
      <c r="G137" s="226"/>
    </row>
    <row r="138" spans="1:7" s="263" customFormat="1" ht="15" hidden="1">
      <c r="A138" s="258"/>
      <c r="B138" s="259"/>
      <c r="C138" s="307"/>
      <c r="D138" s="308"/>
      <c r="E138" s="309"/>
      <c r="F138" s="565"/>
      <c r="G138" s="226"/>
    </row>
    <row r="139" spans="1:7" s="263" customFormat="1" ht="15" hidden="1">
      <c r="A139" s="258"/>
      <c r="B139" s="259"/>
      <c r="C139" s="307"/>
      <c r="D139" s="308"/>
      <c r="E139" s="309"/>
      <c r="F139" s="565"/>
      <c r="G139" s="226"/>
    </row>
    <row r="140" spans="1:6" ht="15" hidden="1">
      <c r="A140" s="245"/>
      <c r="B140" s="228"/>
      <c r="C140" s="304"/>
      <c r="D140" s="302"/>
      <c r="E140" s="303"/>
      <c r="F140" s="346"/>
    </row>
    <row r="141" spans="1:6" ht="15" hidden="1">
      <c r="A141" s="245"/>
      <c r="B141" s="228"/>
      <c r="C141" s="304"/>
      <c r="D141" s="302"/>
      <c r="E141" s="303"/>
      <c r="F141" s="346"/>
    </row>
    <row r="142" spans="1:6" ht="15" hidden="1">
      <c r="A142" s="245"/>
      <c r="B142" s="228"/>
      <c r="C142" s="304"/>
      <c r="D142" s="302"/>
      <c r="E142" s="303"/>
      <c r="F142" s="346"/>
    </row>
    <row r="143" spans="1:6" ht="15" hidden="1">
      <c r="A143" s="245"/>
      <c r="B143" s="228"/>
      <c r="C143" s="304"/>
      <c r="D143" s="302"/>
      <c r="E143" s="303"/>
      <c r="F143" s="346"/>
    </row>
    <row r="144" spans="1:6" ht="15" hidden="1">
      <c r="A144" s="237"/>
      <c r="B144" s="228"/>
      <c r="C144" s="301"/>
      <c r="D144" s="302"/>
      <c r="E144" s="303"/>
      <c r="F144" s="346"/>
    </row>
    <row r="145" spans="1:6" ht="15.75" hidden="1" thickBot="1">
      <c r="A145" s="245"/>
      <c r="B145" s="228"/>
      <c r="C145" s="304"/>
      <c r="D145" s="302"/>
      <c r="E145" s="303"/>
      <c r="F145" s="346"/>
    </row>
    <row r="146" spans="1:6" ht="18" customHeight="1" hidden="1" thickBot="1">
      <c r="A146" s="234"/>
      <c r="B146" s="236"/>
      <c r="C146" s="310"/>
      <c r="D146" s="310"/>
      <c r="E146" s="311"/>
      <c r="F146" s="564"/>
    </row>
    <row r="147" spans="1:11" ht="21.75" customHeight="1">
      <c r="A147" s="655" t="s">
        <v>395</v>
      </c>
      <c r="B147" s="656"/>
      <c r="C147" s="656"/>
      <c r="D147" s="656"/>
      <c r="E147" s="656"/>
      <c r="F147" s="657"/>
      <c r="G147" s="341"/>
      <c r="H147" s="341"/>
      <c r="I147" s="341"/>
      <c r="J147" s="341"/>
      <c r="K147" s="341"/>
    </row>
    <row r="148" spans="1:11" ht="20.25" customHeight="1">
      <c r="A148" s="245" t="s">
        <v>68</v>
      </c>
      <c r="B148" s="247">
        <f>ROUND(C148+D148+E148*2.9+F148*$H$1,0)-1</f>
        <v>3364</v>
      </c>
      <c r="C148" s="348">
        <v>871</v>
      </c>
      <c r="D148" s="349">
        <v>235</v>
      </c>
      <c r="E148" s="349">
        <v>779</v>
      </c>
      <c r="F148" s="556">
        <v>0</v>
      </c>
      <c r="G148" s="341"/>
      <c r="H148" s="341"/>
      <c r="I148" s="341"/>
      <c r="J148" s="341"/>
      <c r="K148" s="341"/>
    </row>
    <row r="149" spans="1:11" ht="20.25" customHeight="1">
      <c r="A149" s="242" t="s">
        <v>75</v>
      </c>
      <c r="B149" s="247">
        <f aca="true" t="shared" si="4" ref="B149:B166">ROUND(C149+D149+E149*2.9+F149*$H$1,0)</f>
        <v>975</v>
      </c>
      <c r="C149" s="348">
        <v>252</v>
      </c>
      <c r="D149" s="349">
        <v>68</v>
      </c>
      <c r="E149" s="349">
        <v>226</v>
      </c>
      <c r="F149" s="556">
        <v>0</v>
      </c>
      <c r="G149" s="341"/>
      <c r="H149" s="341"/>
      <c r="I149" s="341"/>
      <c r="J149" s="341"/>
      <c r="K149" s="341"/>
    </row>
    <row r="150" spans="1:11" ht="20.25" customHeight="1">
      <c r="A150" s="242" t="s">
        <v>46</v>
      </c>
      <c r="B150" s="247">
        <f t="shared" si="4"/>
        <v>7763</v>
      </c>
      <c r="C150" s="348">
        <v>1766</v>
      </c>
      <c r="D150" s="349">
        <v>478</v>
      </c>
      <c r="E150" s="349">
        <v>1903</v>
      </c>
      <c r="F150" s="556">
        <v>0</v>
      </c>
      <c r="G150" s="341"/>
      <c r="H150" s="341"/>
      <c r="I150" s="341"/>
      <c r="J150" s="341"/>
      <c r="K150" s="341"/>
    </row>
    <row r="151" spans="1:11" ht="20.25" customHeight="1">
      <c r="A151" s="237" t="s">
        <v>9</v>
      </c>
      <c r="B151" s="248">
        <f t="shared" si="4"/>
        <v>4876</v>
      </c>
      <c r="C151" s="348">
        <v>1261</v>
      </c>
      <c r="D151" s="349">
        <v>341</v>
      </c>
      <c r="E151" s="349">
        <v>1129</v>
      </c>
      <c r="F151" s="556">
        <v>0</v>
      </c>
      <c r="G151" s="341"/>
      <c r="H151" s="341"/>
      <c r="I151" s="341"/>
      <c r="J151" s="341"/>
      <c r="K151" s="341"/>
    </row>
    <row r="152" spans="1:11" ht="20.25" customHeight="1">
      <c r="A152" s="245" t="s">
        <v>71</v>
      </c>
      <c r="B152" s="247">
        <f t="shared" si="4"/>
        <v>2438</v>
      </c>
      <c r="C152" s="348">
        <v>631</v>
      </c>
      <c r="D152" s="349">
        <v>171</v>
      </c>
      <c r="E152" s="349">
        <v>564</v>
      </c>
      <c r="F152" s="556">
        <v>0</v>
      </c>
      <c r="G152" s="341"/>
      <c r="H152" s="341"/>
      <c r="I152" s="341"/>
      <c r="J152" s="341"/>
      <c r="K152" s="341"/>
    </row>
    <row r="153" spans="1:11" ht="20.25" customHeight="1">
      <c r="A153" s="242" t="s">
        <v>13</v>
      </c>
      <c r="B153" s="249">
        <f t="shared" si="4"/>
        <v>1024</v>
      </c>
      <c r="C153" s="348">
        <v>265</v>
      </c>
      <c r="D153" s="349">
        <v>72</v>
      </c>
      <c r="E153" s="349">
        <v>237</v>
      </c>
      <c r="F153" s="556">
        <v>0</v>
      </c>
      <c r="G153" s="341"/>
      <c r="H153" s="341"/>
      <c r="I153" s="341"/>
      <c r="J153" s="341"/>
      <c r="K153" s="341"/>
    </row>
    <row r="154" spans="1:11" ht="20.25" customHeight="1">
      <c r="A154" s="237" t="s">
        <v>78</v>
      </c>
      <c r="B154" s="228">
        <f t="shared" si="4"/>
        <v>5536</v>
      </c>
      <c r="C154" s="348">
        <f>1433-231</f>
        <v>1202</v>
      </c>
      <c r="D154" s="349">
        <v>388</v>
      </c>
      <c r="E154" s="349">
        <v>1218</v>
      </c>
      <c r="F154" s="561">
        <f>'1.2. Диспансерное наблюдение'!$D$11</f>
        <v>414</v>
      </c>
      <c r="G154" s="341"/>
      <c r="H154" s="341"/>
      <c r="I154" s="341"/>
      <c r="J154" s="341"/>
      <c r="K154" s="341"/>
    </row>
    <row r="155" spans="1:11" ht="20.25" customHeight="1">
      <c r="A155" s="242" t="s">
        <v>70</v>
      </c>
      <c r="B155" s="249">
        <f t="shared" si="4"/>
        <v>571</v>
      </c>
      <c r="C155" s="353">
        <v>0</v>
      </c>
      <c r="D155" s="529">
        <v>0</v>
      </c>
      <c r="E155" s="529">
        <v>197</v>
      </c>
      <c r="F155" s="556">
        <v>0</v>
      </c>
      <c r="G155" s="341"/>
      <c r="H155" s="341"/>
      <c r="I155" s="341"/>
      <c r="J155" s="341"/>
      <c r="K155" s="341"/>
    </row>
    <row r="156" spans="1:11" ht="20.25" customHeight="1">
      <c r="A156" s="237" t="s">
        <v>64</v>
      </c>
      <c r="B156" s="239">
        <f t="shared" si="4"/>
        <v>8091</v>
      </c>
      <c r="C156" s="359">
        <v>1533</v>
      </c>
      <c r="D156" s="349">
        <v>511</v>
      </c>
      <c r="E156" s="349">
        <v>1986</v>
      </c>
      <c r="F156" s="566">
        <f>'1.2. Диспансерное наблюдение'!$D$12</f>
        <v>288</v>
      </c>
      <c r="G156" s="341"/>
      <c r="H156" s="341"/>
      <c r="I156" s="341"/>
      <c r="J156" s="341"/>
      <c r="K156" s="341"/>
    </row>
    <row r="157" spans="1:11" ht="20.25" customHeight="1">
      <c r="A157" s="237" t="s">
        <v>3</v>
      </c>
      <c r="B157" s="228">
        <f t="shared" si="4"/>
        <v>14489</v>
      </c>
      <c r="C157" s="348">
        <v>2622</v>
      </c>
      <c r="D157" s="349">
        <v>1014</v>
      </c>
      <c r="E157" s="349">
        <v>3253</v>
      </c>
      <c r="F157" s="561">
        <f>'1.2. Диспансерное наблюдение'!$D$13</f>
        <v>1419</v>
      </c>
      <c r="G157" s="341"/>
      <c r="H157" s="341"/>
      <c r="I157" s="341"/>
      <c r="J157" s="341"/>
      <c r="K157" s="341"/>
    </row>
    <row r="158" spans="1:11" ht="20.25" customHeight="1">
      <c r="A158" s="238" t="s">
        <v>76</v>
      </c>
      <c r="B158" s="228">
        <f t="shared" si="4"/>
        <v>11918</v>
      </c>
      <c r="C158" s="359">
        <v>2820</v>
      </c>
      <c r="D158" s="349">
        <v>834</v>
      </c>
      <c r="E158" s="349">
        <v>2734</v>
      </c>
      <c r="F158" s="561">
        <f>'1.2. Диспансерное наблюдение'!$D$15</f>
        <v>335</v>
      </c>
      <c r="G158" s="341"/>
      <c r="H158" s="341"/>
      <c r="I158" s="341"/>
      <c r="J158" s="341"/>
      <c r="K158" s="341"/>
    </row>
    <row r="159" spans="1:11" ht="20.25" customHeight="1">
      <c r="A159" s="242" t="s">
        <v>2</v>
      </c>
      <c r="B159" s="228">
        <f t="shared" si="4"/>
        <v>12628</v>
      </c>
      <c r="C159" s="348">
        <v>2656</v>
      </c>
      <c r="D159" s="349">
        <v>884</v>
      </c>
      <c r="E159" s="349">
        <v>2814</v>
      </c>
      <c r="F159" s="561">
        <f>'1.2. Диспансерное наблюдение'!$D$16</f>
        <v>927</v>
      </c>
      <c r="G159" s="341"/>
      <c r="H159" s="341"/>
      <c r="I159" s="341"/>
      <c r="J159" s="341"/>
      <c r="K159" s="341"/>
    </row>
    <row r="160" spans="1:6" ht="20.25" customHeight="1">
      <c r="A160" s="242" t="s">
        <v>10</v>
      </c>
      <c r="B160" s="247">
        <f t="shared" si="4"/>
        <v>975</v>
      </c>
      <c r="C160" s="348">
        <v>252</v>
      </c>
      <c r="D160" s="349">
        <v>68</v>
      </c>
      <c r="E160" s="349">
        <v>226</v>
      </c>
      <c r="F160" s="556">
        <v>0</v>
      </c>
    </row>
    <row r="161" spans="1:6" ht="20.25" customHeight="1">
      <c r="A161" s="242" t="s">
        <v>213</v>
      </c>
      <c r="B161" s="249">
        <f t="shared" si="4"/>
        <v>138466</v>
      </c>
      <c r="C161" s="348">
        <f>C162+C164</f>
        <v>19740</v>
      </c>
      <c r="D161" s="348">
        <f>D162+D164</f>
        <v>10576</v>
      </c>
      <c r="E161" s="448">
        <f>E162+E164</f>
        <v>37293</v>
      </c>
      <c r="F161" s="556">
        <v>0</v>
      </c>
    </row>
    <row r="162" spans="1:6" ht="20.25" customHeight="1">
      <c r="A162" s="284" t="s">
        <v>214</v>
      </c>
      <c r="B162" s="353">
        <f t="shared" si="4"/>
        <v>105465</v>
      </c>
      <c r="C162" s="353">
        <v>12000</v>
      </c>
      <c r="D162" s="354">
        <v>7355</v>
      </c>
      <c r="E162" s="354">
        <v>29693</v>
      </c>
      <c r="F162" s="556">
        <v>0</v>
      </c>
    </row>
    <row r="163" spans="1:6" ht="31.5" customHeight="1">
      <c r="A163" s="231" t="s">
        <v>493</v>
      </c>
      <c r="B163" s="347">
        <f>ROUND(C163+D163+E163*2.9+F163*$H$1,0)</f>
        <v>1500</v>
      </c>
      <c r="C163" s="353">
        <v>750</v>
      </c>
      <c r="D163" s="354">
        <v>300</v>
      </c>
      <c r="E163" s="354">
        <v>155</v>
      </c>
      <c r="F163" s="556"/>
    </row>
    <row r="164" spans="1:6" ht="20.25" customHeight="1">
      <c r="A164" s="284" t="s">
        <v>215</v>
      </c>
      <c r="B164" s="353">
        <f>ROUND(C164+D164+E164*2.9+F164*$H$1,0)</f>
        <v>33001</v>
      </c>
      <c r="C164" s="353">
        <v>7740</v>
      </c>
      <c r="D164" s="354">
        <v>3221</v>
      </c>
      <c r="E164" s="354">
        <v>7600</v>
      </c>
      <c r="F164" s="556">
        <v>0</v>
      </c>
    </row>
    <row r="165" spans="1:6" ht="27.75" customHeight="1">
      <c r="A165" s="231" t="s">
        <v>79</v>
      </c>
      <c r="B165" s="249">
        <f t="shared" si="4"/>
        <v>19599</v>
      </c>
      <c r="C165" s="348">
        <v>15473</v>
      </c>
      <c r="D165" s="349">
        <v>568</v>
      </c>
      <c r="E165" s="349">
        <v>1227</v>
      </c>
      <c r="F165" s="556">
        <v>0</v>
      </c>
    </row>
    <row r="166" spans="1:11" ht="20.25" customHeight="1">
      <c r="A166" s="232" t="s">
        <v>369</v>
      </c>
      <c r="B166" s="248">
        <f t="shared" si="4"/>
        <v>136672</v>
      </c>
      <c r="C166" s="348">
        <v>40849</v>
      </c>
      <c r="D166" s="349">
        <v>10135</v>
      </c>
      <c r="E166" s="349">
        <v>24617</v>
      </c>
      <c r="F166" s="560">
        <f>'1.2. Диспансерное наблюдение'!$D$17</f>
        <v>14299</v>
      </c>
      <c r="G166" s="227">
        <f>C166-C167</f>
        <v>3945</v>
      </c>
      <c r="H166" s="227"/>
      <c r="I166" s="227"/>
      <c r="J166" s="227"/>
      <c r="K166" s="227"/>
    </row>
    <row r="167" spans="1:11" s="263" customFormat="1" ht="32.25" customHeight="1">
      <c r="A167" s="258" t="s">
        <v>394</v>
      </c>
      <c r="B167" s="259">
        <f>ROUND(C167+D167+E167*2.9,0)</f>
        <v>36904</v>
      </c>
      <c r="C167" s="353">
        <f>C168+C170</f>
        <v>36904</v>
      </c>
      <c r="D167" s="530">
        <v>0</v>
      </c>
      <c r="E167" s="530">
        <v>0</v>
      </c>
      <c r="F167" s="556">
        <v>0</v>
      </c>
      <c r="G167" s="226"/>
      <c r="I167" s="264"/>
      <c r="J167" s="264"/>
      <c r="K167" s="264"/>
    </row>
    <row r="168" spans="1:11" s="263" customFormat="1" ht="29.25" customHeight="1">
      <c r="A168" s="258" t="s">
        <v>371</v>
      </c>
      <c r="B168" s="259">
        <f>ROUND(C168+D168+E168*2.9,0)</f>
        <v>30253</v>
      </c>
      <c r="C168" s="353">
        <f>'1.1. ПРОФ.МЕРОПРИЯТИЯ'!E12</f>
        <v>30253</v>
      </c>
      <c r="D168" s="530">
        <v>0</v>
      </c>
      <c r="E168" s="530">
        <v>0</v>
      </c>
      <c r="F168" s="556">
        <v>0</v>
      </c>
      <c r="G168" s="226"/>
      <c r="I168" s="264"/>
      <c r="J168" s="264"/>
      <c r="K168" s="264"/>
    </row>
    <row r="169" spans="1:11" s="263" customFormat="1" ht="24" customHeight="1">
      <c r="A169" s="258" t="s">
        <v>370</v>
      </c>
      <c r="B169" s="259"/>
      <c r="C169" s="353">
        <f>'1.1. ПРОФ.МЕРОПРИЯТИЯ'!F12</f>
        <v>2074</v>
      </c>
      <c r="D169" s="530">
        <v>0</v>
      </c>
      <c r="E169" s="530">
        <v>0</v>
      </c>
      <c r="F169" s="556">
        <v>0</v>
      </c>
      <c r="G169" s="226"/>
      <c r="I169" s="264"/>
      <c r="J169" s="264"/>
      <c r="K169" s="264"/>
    </row>
    <row r="170" spans="1:11" s="263" customFormat="1" ht="30" customHeight="1">
      <c r="A170" s="258" t="s">
        <v>203</v>
      </c>
      <c r="B170" s="259">
        <f>ROUND(C170+D170+E170*2.9,0)</f>
        <v>6651</v>
      </c>
      <c r="C170" s="353">
        <f>'1.1. ПРОФ.МЕРОПРИЯТИЯ'!I12</f>
        <v>6651</v>
      </c>
      <c r="D170" s="530">
        <v>0</v>
      </c>
      <c r="E170" s="530">
        <v>0</v>
      </c>
      <c r="F170" s="556">
        <v>0</v>
      </c>
      <c r="G170" s="226"/>
      <c r="I170" s="264"/>
      <c r="J170" s="264"/>
      <c r="K170" s="264"/>
    </row>
    <row r="171" spans="1:11" s="263" customFormat="1" ht="15" customHeight="1">
      <c r="A171" s="237" t="s">
        <v>423</v>
      </c>
      <c r="B171" s="228">
        <f aca="true" t="shared" si="5" ref="B171:B179">ROUND(C171+D171+E171*2.9+F171*$H$1,0)</f>
        <v>27174</v>
      </c>
      <c r="C171" s="348">
        <v>6890</v>
      </c>
      <c r="D171" s="349">
        <v>1902</v>
      </c>
      <c r="E171" s="349">
        <v>6283</v>
      </c>
      <c r="F171" s="561">
        <f>'1.2. Диспансерное наблюдение'!$D$18</f>
        <v>161</v>
      </c>
      <c r="G171" s="226"/>
      <c r="I171" s="264"/>
      <c r="J171" s="264"/>
      <c r="K171" s="264"/>
    </row>
    <row r="172" spans="1:11" s="263" customFormat="1" ht="15" customHeight="1">
      <c r="A172" s="237" t="s">
        <v>1</v>
      </c>
      <c r="B172" s="228">
        <f t="shared" si="5"/>
        <v>9592</v>
      </c>
      <c r="C172" s="348">
        <v>2235</v>
      </c>
      <c r="D172" s="349">
        <v>671</v>
      </c>
      <c r="E172" s="349">
        <v>2243</v>
      </c>
      <c r="F172" s="561">
        <f>'1.2. Диспансерное наблюдение'!$D$19</f>
        <v>181</v>
      </c>
      <c r="G172" s="226"/>
      <c r="I172" s="264"/>
      <c r="J172" s="264"/>
      <c r="K172" s="264"/>
    </row>
    <row r="173" spans="1:11" s="263" customFormat="1" ht="15" customHeight="1">
      <c r="A173" s="237" t="s">
        <v>33</v>
      </c>
      <c r="B173" s="228">
        <f t="shared" si="5"/>
        <v>14894</v>
      </c>
      <c r="C173" s="348">
        <v>3503</v>
      </c>
      <c r="D173" s="349">
        <v>1043</v>
      </c>
      <c r="E173" s="349">
        <v>3414</v>
      </c>
      <c r="F173" s="561">
        <f>'1.2. Диспансерное наблюдение'!$D$20</f>
        <v>447</v>
      </c>
      <c r="G173" s="226"/>
      <c r="I173" s="264"/>
      <c r="J173" s="264"/>
      <c r="K173" s="264"/>
    </row>
    <row r="174" spans="1:6" ht="13.5" customHeight="1">
      <c r="A174" s="245" t="s">
        <v>241</v>
      </c>
      <c r="B174" s="247">
        <f t="shared" si="5"/>
        <v>833</v>
      </c>
      <c r="C174" s="348">
        <v>215</v>
      </c>
      <c r="D174" s="349">
        <v>58</v>
      </c>
      <c r="E174" s="349">
        <v>193</v>
      </c>
      <c r="F174" s="556">
        <v>0</v>
      </c>
    </row>
    <row r="175" spans="1:6" ht="13.5" customHeight="1">
      <c r="A175" s="245" t="s">
        <v>5</v>
      </c>
      <c r="B175" s="228">
        <f t="shared" si="5"/>
        <v>11179</v>
      </c>
      <c r="C175" s="348">
        <v>1757</v>
      </c>
      <c r="D175" s="349">
        <v>792</v>
      </c>
      <c r="E175" s="349">
        <v>2559</v>
      </c>
      <c r="F175" s="561">
        <f>'1.2. Диспансерное наблюдение'!$D$21</f>
        <v>1209</v>
      </c>
    </row>
    <row r="176" spans="1:6" ht="27.75" customHeight="1">
      <c r="A176" s="537" t="s">
        <v>488</v>
      </c>
      <c r="B176" s="266">
        <f>ROUND(C176*5+D176+E176*2.9+F176*$H$1,0)</f>
        <v>250</v>
      </c>
      <c r="C176" s="353">
        <v>50</v>
      </c>
      <c r="D176" s="530">
        <v>0</v>
      </c>
      <c r="E176" s="530">
        <v>0</v>
      </c>
      <c r="F176" s="556">
        <v>0</v>
      </c>
    </row>
    <row r="177" spans="1:6" ht="16.5" customHeight="1">
      <c r="A177" s="242" t="s">
        <v>216</v>
      </c>
      <c r="B177" s="249">
        <f t="shared" si="5"/>
        <v>3753</v>
      </c>
      <c r="C177" s="348">
        <f>SUM(C178:C179)</f>
        <v>3753</v>
      </c>
      <c r="D177" s="530">
        <v>0</v>
      </c>
      <c r="E177" s="530">
        <v>0</v>
      </c>
      <c r="F177" s="556">
        <v>0</v>
      </c>
    </row>
    <row r="178" spans="1:7" s="240" customFormat="1" ht="16.5" customHeight="1">
      <c r="A178" s="284" t="s">
        <v>217</v>
      </c>
      <c r="B178" s="249">
        <f t="shared" si="5"/>
        <v>0</v>
      </c>
      <c r="C178" s="353">
        <f>2236-2236</f>
        <v>0</v>
      </c>
      <c r="D178" s="530">
        <v>0</v>
      </c>
      <c r="E178" s="530">
        <v>0</v>
      </c>
      <c r="F178" s="556">
        <v>0</v>
      </c>
      <c r="G178" s="226"/>
    </row>
    <row r="179" spans="1:7" s="240" customFormat="1" ht="16.5" customHeight="1" thickBot="1">
      <c r="A179" s="284" t="s">
        <v>218</v>
      </c>
      <c r="B179" s="249">
        <f t="shared" si="5"/>
        <v>3753</v>
      </c>
      <c r="C179" s="353">
        <v>3753</v>
      </c>
      <c r="D179" s="530">
        <v>0</v>
      </c>
      <c r="E179" s="530">
        <v>0</v>
      </c>
      <c r="F179" s="556">
        <v>0</v>
      </c>
      <c r="G179" s="226"/>
    </row>
    <row r="180" spans="1:11" ht="32.25" customHeight="1">
      <c r="A180" s="579" t="s">
        <v>405</v>
      </c>
      <c r="B180" s="580">
        <f>SUM(B148:B161,B165:B166,B171:B175,B177)</f>
        <v>436810</v>
      </c>
      <c r="C180" s="580">
        <f>SUM(C148:C161,C165:C166,C171:C175,C177)</f>
        <v>110546</v>
      </c>
      <c r="D180" s="580">
        <f>SUM(D148:D161,D165:D166,D171:D175,D177)</f>
        <v>30809</v>
      </c>
      <c r="E180" s="580">
        <f>SUM(E148:E161,E165:E166,E171:E175,E177)</f>
        <v>95095</v>
      </c>
      <c r="F180" s="581">
        <f>SUM(F148:F161,F165:F166,F171:F175,F177)</f>
        <v>19680</v>
      </c>
      <c r="G180" s="341">
        <v>436810</v>
      </c>
      <c r="H180" s="341">
        <v>110546</v>
      </c>
      <c r="I180" s="343">
        <v>30809</v>
      </c>
      <c r="J180" s="341">
        <v>95095</v>
      </c>
      <c r="K180" s="343">
        <v>19680</v>
      </c>
    </row>
    <row r="181" spans="1:11" ht="27.75" customHeight="1" thickBot="1">
      <c r="A181" s="604" t="s">
        <v>495</v>
      </c>
      <c r="B181" s="605">
        <f>ROUND(C181+D181+E181*2.9+F181*$H$1,0)</f>
        <v>1500</v>
      </c>
      <c r="C181" s="606">
        <f>C163</f>
        <v>750</v>
      </c>
      <c r="D181" s="606">
        <f>D163</f>
        <v>300</v>
      </c>
      <c r="E181" s="606">
        <f>E163</f>
        <v>155</v>
      </c>
      <c r="F181" s="572">
        <v>0</v>
      </c>
      <c r="G181" s="341">
        <f>G180-B180</f>
        <v>0</v>
      </c>
      <c r="H181" s="341">
        <f>H180-C180</f>
        <v>0</v>
      </c>
      <c r="I181" s="341">
        <f>I180-D180</f>
        <v>0</v>
      </c>
      <c r="J181" s="341">
        <f>J180-E180</f>
        <v>0</v>
      </c>
      <c r="K181" s="341">
        <f>K180-F180</f>
        <v>0</v>
      </c>
    </row>
    <row r="182" spans="1:6" ht="23.25" customHeight="1" hidden="1">
      <c r="A182" s="237"/>
      <c r="B182" s="248"/>
      <c r="C182" s="301"/>
      <c r="D182" s="302"/>
      <c r="E182" s="303"/>
      <c r="F182" s="346"/>
    </row>
    <row r="183" spans="1:6" ht="16.5" customHeight="1" hidden="1" thickBot="1">
      <c r="A183" s="246"/>
      <c r="B183" s="248"/>
      <c r="C183" s="304"/>
      <c r="D183" s="302"/>
      <c r="E183" s="303"/>
      <c r="F183" s="346"/>
    </row>
    <row r="184" spans="1:11" ht="18.75" customHeight="1" hidden="1" thickBot="1">
      <c r="A184" s="234"/>
      <c r="B184" s="236"/>
      <c r="C184" s="310"/>
      <c r="D184" s="310"/>
      <c r="E184" s="311"/>
      <c r="F184" s="564"/>
      <c r="H184" s="263"/>
      <c r="I184" s="263"/>
      <c r="J184" s="263"/>
      <c r="K184" s="263"/>
    </row>
    <row r="185" spans="1:11" ht="20.25" customHeight="1" hidden="1" thickBot="1">
      <c r="A185" s="664"/>
      <c r="B185" s="665"/>
      <c r="C185" s="665"/>
      <c r="D185" s="665"/>
      <c r="E185" s="666"/>
      <c r="F185" s="583"/>
      <c r="H185" s="263"/>
      <c r="I185" s="263"/>
      <c r="J185" s="263"/>
      <c r="K185" s="263"/>
    </row>
    <row r="186" spans="1:11" ht="18.75" customHeight="1" hidden="1">
      <c r="A186" s="245"/>
      <c r="B186" s="247"/>
      <c r="C186" s="322"/>
      <c r="D186" s="323"/>
      <c r="E186" s="324"/>
      <c r="F186" s="561"/>
      <c r="H186" s="263"/>
      <c r="I186" s="263"/>
      <c r="J186" s="263"/>
      <c r="K186" s="263"/>
    </row>
    <row r="187" spans="1:11" s="263" customFormat="1" ht="45" customHeight="1" hidden="1">
      <c r="A187" s="258"/>
      <c r="B187" s="259"/>
      <c r="C187" s="307"/>
      <c r="D187" s="308"/>
      <c r="E187" s="309"/>
      <c r="F187" s="565"/>
      <c r="G187" s="226"/>
      <c r="H187" s="226"/>
      <c r="I187" s="226"/>
      <c r="J187" s="226"/>
      <c r="K187" s="226"/>
    </row>
    <row r="188" spans="1:11" s="263" customFormat="1" ht="27.75" customHeight="1" hidden="1">
      <c r="A188" s="258"/>
      <c r="B188" s="259"/>
      <c r="C188" s="307"/>
      <c r="D188" s="308"/>
      <c r="E188" s="309"/>
      <c r="F188" s="565"/>
      <c r="G188" s="226"/>
      <c r="H188" s="226"/>
      <c r="I188" s="226"/>
      <c r="J188" s="226"/>
      <c r="K188" s="226"/>
    </row>
    <row r="189" spans="1:11" s="263" customFormat="1" ht="33.75" customHeight="1" hidden="1">
      <c r="A189" s="258"/>
      <c r="B189" s="259"/>
      <c r="C189" s="307"/>
      <c r="D189" s="308"/>
      <c r="E189" s="309"/>
      <c r="F189" s="565"/>
      <c r="G189" s="226"/>
      <c r="H189" s="226"/>
      <c r="I189" s="226"/>
      <c r="J189" s="226"/>
      <c r="K189" s="226"/>
    </row>
    <row r="190" spans="1:6" ht="21" customHeight="1" hidden="1">
      <c r="A190" s="245"/>
      <c r="B190" s="247"/>
      <c r="C190" s="322"/>
      <c r="D190" s="323"/>
      <c r="E190" s="324"/>
      <c r="F190" s="561"/>
    </row>
    <row r="191" spans="1:14" s="260" customFormat="1" ht="15.75" hidden="1" thickBot="1">
      <c r="A191" s="258"/>
      <c r="B191" s="259"/>
      <c r="C191" s="307"/>
      <c r="D191" s="308"/>
      <c r="E191" s="309"/>
      <c r="F191" s="565"/>
      <c r="G191" s="226"/>
      <c r="H191" s="226"/>
      <c r="I191" s="226"/>
      <c r="J191" s="226"/>
      <c r="K191" s="226"/>
      <c r="N191" s="261"/>
    </row>
    <row r="192" spans="1:14" s="260" customFormat="1" ht="15.75" hidden="1" thickBot="1">
      <c r="A192" s="258"/>
      <c r="B192" s="259"/>
      <c r="C192" s="307"/>
      <c r="D192" s="308"/>
      <c r="E192" s="309"/>
      <c r="F192" s="565"/>
      <c r="G192" s="226"/>
      <c r="H192" s="226"/>
      <c r="I192" s="226"/>
      <c r="J192" s="226"/>
      <c r="K192" s="226"/>
      <c r="N192" s="261"/>
    </row>
    <row r="193" spans="1:14" s="260" customFormat="1" ht="15.75" hidden="1" thickBot="1">
      <c r="A193" s="258"/>
      <c r="B193" s="259"/>
      <c r="C193" s="307"/>
      <c r="D193" s="308"/>
      <c r="E193" s="309"/>
      <c r="F193" s="565"/>
      <c r="G193" s="226"/>
      <c r="H193" s="226"/>
      <c r="I193" s="226"/>
      <c r="J193" s="226"/>
      <c r="K193" s="226"/>
      <c r="N193" s="261"/>
    </row>
    <row r="194" spans="1:14" s="260" customFormat="1" ht="15.75" hidden="1" thickBot="1">
      <c r="A194" s="258"/>
      <c r="B194" s="259"/>
      <c r="C194" s="307"/>
      <c r="D194" s="308"/>
      <c r="E194" s="309"/>
      <c r="F194" s="565"/>
      <c r="G194" s="341">
        <f>G193-B193</f>
        <v>0</v>
      </c>
      <c r="H194" s="341">
        <f>H193-C193</f>
        <v>0</v>
      </c>
      <c r="I194" s="341">
        <f>I193-D193</f>
        <v>0</v>
      </c>
      <c r="J194" s="341">
        <f>J193-E193</f>
        <v>0</v>
      </c>
      <c r="K194" s="341">
        <f>K193-F193</f>
        <v>0</v>
      </c>
      <c r="N194" s="261"/>
    </row>
    <row r="195" spans="1:6" ht="17.25" customHeight="1" hidden="1">
      <c r="A195" s="245"/>
      <c r="B195" s="247"/>
      <c r="C195" s="322"/>
      <c r="D195" s="320"/>
      <c r="E195" s="321"/>
      <c r="F195" s="566"/>
    </row>
    <row r="196" spans="1:6" ht="14.25" customHeight="1" hidden="1">
      <c r="A196" s="245"/>
      <c r="B196" s="247"/>
      <c r="C196" s="322"/>
      <c r="D196" s="320"/>
      <c r="E196" s="321"/>
      <c r="F196" s="566"/>
    </row>
    <row r="197" spans="1:6" ht="14.25" customHeight="1" hidden="1">
      <c r="A197" s="245"/>
      <c r="B197" s="247"/>
      <c r="C197" s="322"/>
      <c r="D197" s="320"/>
      <c r="E197" s="321"/>
      <c r="F197" s="566"/>
    </row>
    <row r="198" spans="1:6" ht="13.5" customHeight="1" hidden="1">
      <c r="A198" s="245"/>
      <c r="B198" s="247"/>
      <c r="C198" s="322"/>
      <c r="D198" s="320"/>
      <c r="E198" s="321"/>
      <c r="F198" s="566"/>
    </row>
    <row r="199" spans="1:6" ht="13.5" customHeight="1" hidden="1">
      <c r="A199" s="245"/>
      <c r="B199" s="247"/>
      <c r="C199" s="322"/>
      <c r="D199" s="320"/>
      <c r="E199" s="321"/>
      <c r="F199" s="566"/>
    </row>
    <row r="200" spans="1:6" ht="15.75" customHeight="1" hidden="1">
      <c r="A200" s="245"/>
      <c r="B200" s="247"/>
      <c r="C200" s="322"/>
      <c r="D200" s="323"/>
      <c r="E200" s="324"/>
      <c r="F200" s="561"/>
    </row>
    <row r="201" spans="1:6" ht="13.5" customHeight="1" hidden="1">
      <c r="A201" s="237"/>
      <c r="B201" s="247"/>
      <c r="C201" s="319"/>
      <c r="D201" s="320"/>
      <c r="E201" s="321"/>
      <c r="F201" s="566"/>
    </row>
    <row r="202" spans="1:6" ht="13.5" customHeight="1" hidden="1">
      <c r="A202" s="245"/>
      <c r="B202" s="247"/>
      <c r="C202" s="322"/>
      <c r="D202" s="320"/>
      <c r="E202" s="321"/>
      <c r="F202" s="566"/>
    </row>
    <row r="203" spans="1:6" ht="14.25" customHeight="1" hidden="1">
      <c r="A203" s="245"/>
      <c r="B203" s="247"/>
      <c r="C203" s="322"/>
      <c r="D203" s="320"/>
      <c r="E203" s="321"/>
      <c r="F203" s="566"/>
    </row>
    <row r="204" spans="1:6" ht="15" customHeight="1" hidden="1">
      <c r="A204" s="245"/>
      <c r="B204" s="247"/>
      <c r="C204" s="322"/>
      <c r="D204" s="320"/>
      <c r="E204" s="321"/>
      <c r="F204" s="566"/>
    </row>
    <row r="205" spans="1:6" ht="28.5" customHeight="1" hidden="1">
      <c r="A205" s="245"/>
      <c r="B205" s="247"/>
      <c r="C205" s="322"/>
      <c r="D205" s="320"/>
      <c r="E205" s="321"/>
      <c r="F205" s="566"/>
    </row>
    <row r="206" spans="1:7" s="240" customFormat="1" ht="15.75" hidden="1" thickBot="1">
      <c r="A206" s="250"/>
      <c r="B206" s="247"/>
      <c r="C206" s="312"/>
      <c r="D206" s="313"/>
      <c r="E206" s="325"/>
      <c r="F206" s="567"/>
      <c r="G206" s="226"/>
    </row>
    <row r="207" spans="1:8" ht="17.25" customHeight="1" hidden="1" thickBot="1">
      <c r="A207" s="234"/>
      <c r="B207" s="236"/>
      <c r="C207" s="310"/>
      <c r="D207" s="310"/>
      <c r="E207" s="311"/>
      <c r="F207" s="564"/>
      <c r="H207" s="227"/>
    </row>
    <row r="208" spans="1:6" ht="20.25" customHeight="1" hidden="1" thickBot="1">
      <c r="A208" s="664"/>
      <c r="B208" s="665"/>
      <c r="C208" s="665"/>
      <c r="D208" s="665"/>
      <c r="E208" s="666"/>
      <c r="F208" s="583"/>
    </row>
    <row r="209" spans="1:6" ht="18" customHeight="1" hidden="1">
      <c r="A209" s="245"/>
      <c r="B209" s="247"/>
      <c r="C209" s="322"/>
      <c r="D209" s="320"/>
      <c r="E209" s="321"/>
      <c r="F209" s="566"/>
    </row>
    <row r="210" spans="1:11" s="263" customFormat="1" ht="44.25" customHeight="1" hidden="1">
      <c r="A210" s="258"/>
      <c r="B210" s="259"/>
      <c r="C210" s="307"/>
      <c r="D210" s="308"/>
      <c r="E210" s="309"/>
      <c r="F210" s="565"/>
      <c r="G210" s="226"/>
      <c r="I210" s="264"/>
      <c r="J210" s="264"/>
      <c r="K210" s="264"/>
    </row>
    <row r="211" spans="1:11" s="263" customFormat="1" ht="31.5" customHeight="1" hidden="1">
      <c r="A211" s="258"/>
      <c r="B211" s="259"/>
      <c r="C211" s="307"/>
      <c r="D211" s="308"/>
      <c r="E211" s="309"/>
      <c r="F211" s="565"/>
      <c r="G211" s="226"/>
      <c r="I211" s="264"/>
      <c r="J211" s="264"/>
      <c r="K211" s="264"/>
    </row>
    <row r="212" spans="1:11" s="263" customFormat="1" ht="33" customHeight="1" hidden="1">
      <c r="A212" s="258"/>
      <c r="B212" s="259"/>
      <c r="C212" s="307"/>
      <c r="D212" s="308"/>
      <c r="E212" s="309"/>
      <c r="F212" s="565"/>
      <c r="G212" s="226"/>
      <c r="I212" s="264"/>
      <c r="J212" s="264"/>
      <c r="K212" s="264"/>
    </row>
    <row r="213" spans="1:6" ht="18" customHeight="1" hidden="1">
      <c r="A213" s="245"/>
      <c r="B213" s="247"/>
      <c r="C213" s="322"/>
      <c r="D213" s="320"/>
      <c r="E213" s="321"/>
      <c r="F213" s="566"/>
    </row>
    <row r="214" spans="1:14" s="260" customFormat="1" ht="15.75" hidden="1" thickBot="1">
      <c r="A214" s="258"/>
      <c r="B214" s="259"/>
      <c r="C214" s="307"/>
      <c r="D214" s="308"/>
      <c r="E214" s="309"/>
      <c r="F214" s="565"/>
      <c r="G214" s="226"/>
      <c r="H214" s="262"/>
      <c r="I214" s="261"/>
      <c r="J214" s="261"/>
      <c r="K214" s="261"/>
      <c r="N214" s="261"/>
    </row>
    <row r="215" spans="1:14" s="260" customFormat="1" ht="15.75" hidden="1" thickBot="1">
      <c r="A215" s="258"/>
      <c r="B215" s="259"/>
      <c r="C215" s="307"/>
      <c r="D215" s="308"/>
      <c r="E215" s="309"/>
      <c r="F215" s="565"/>
      <c r="G215" s="226"/>
      <c r="H215" s="262"/>
      <c r="I215" s="261"/>
      <c r="J215" s="261"/>
      <c r="K215" s="261"/>
      <c r="N215" s="261"/>
    </row>
    <row r="216" spans="1:14" s="260" customFormat="1" ht="15.75" hidden="1" thickBot="1">
      <c r="A216" s="258"/>
      <c r="B216" s="259"/>
      <c r="C216" s="307"/>
      <c r="D216" s="308"/>
      <c r="E216" s="309"/>
      <c r="F216" s="565"/>
      <c r="G216" s="226"/>
      <c r="H216" s="262"/>
      <c r="I216" s="261"/>
      <c r="J216" s="261"/>
      <c r="K216" s="261"/>
      <c r="N216" s="261"/>
    </row>
    <row r="217" spans="1:14" s="260" customFormat="1" ht="15.75" hidden="1" thickBot="1">
      <c r="A217" s="258"/>
      <c r="B217" s="259"/>
      <c r="C217" s="307"/>
      <c r="D217" s="308"/>
      <c r="E217" s="309"/>
      <c r="F217" s="565"/>
      <c r="G217" s="226"/>
      <c r="H217" s="262"/>
      <c r="I217" s="261"/>
      <c r="J217" s="261"/>
      <c r="K217" s="261"/>
      <c r="N217" s="261"/>
    </row>
    <row r="218" spans="1:6" ht="17.25" customHeight="1" hidden="1">
      <c r="A218" s="245"/>
      <c r="B218" s="247"/>
      <c r="C218" s="322"/>
      <c r="D218" s="320"/>
      <c r="E218" s="321"/>
      <c r="F218" s="566"/>
    </row>
    <row r="219" spans="1:6" ht="17.25" customHeight="1" hidden="1">
      <c r="A219" s="245"/>
      <c r="B219" s="247"/>
      <c r="C219" s="322"/>
      <c r="D219" s="320"/>
      <c r="E219" s="321"/>
      <c r="F219" s="566"/>
    </row>
    <row r="220" spans="1:6" ht="18.75" customHeight="1" hidden="1">
      <c r="A220" s="245"/>
      <c r="B220" s="247"/>
      <c r="C220" s="322"/>
      <c r="D220" s="320"/>
      <c r="E220" s="321"/>
      <c r="F220" s="566"/>
    </row>
    <row r="221" spans="1:6" ht="13.5" customHeight="1" hidden="1">
      <c r="A221" s="245"/>
      <c r="B221" s="247"/>
      <c r="C221" s="322"/>
      <c r="D221" s="320"/>
      <c r="E221" s="321"/>
      <c r="F221" s="566"/>
    </row>
    <row r="222" spans="1:6" ht="13.5" customHeight="1" hidden="1">
      <c r="A222" s="335"/>
      <c r="B222" s="247"/>
      <c r="C222" s="322"/>
      <c r="D222" s="320"/>
      <c r="E222" s="321"/>
      <c r="F222" s="566"/>
    </row>
    <row r="223" spans="1:6" ht="13.5" customHeight="1" hidden="1">
      <c r="A223" s="245"/>
      <c r="B223" s="247"/>
      <c r="C223" s="322"/>
      <c r="D223" s="320"/>
      <c r="E223" s="321"/>
      <c r="F223" s="566"/>
    </row>
    <row r="224" spans="1:6" ht="15.75" customHeight="1" hidden="1">
      <c r="A224" s="245"/>
      <c r="B224" s="247"/>
      <c r="C224" s="322"/>
      <c r="D224" s="323"/>
      <c r="E224" s="324"/>
      <c r="F224" s="561"/>
    </row>
    <row r="225" spans="1:6" ht="15" customHeight="1" hidden="1">
      <c r="A225" s="237"/>
      <c r="B225" s="247"/>
      <c r="C225" s="319"/>
      <c r="D225" s="320"/>
      <c r="E225" s="321"/>
      <c r="F225" s="566"/>
    </row>
    <row r="226" spans="1:6" ht="14.25" customHeight="1" hidden="1">
      <c r="A226" s="245"/>
      <c r="B226" s="247"/>
      <c r="C226" s="322"/>
      <c r="D226" s="320"/>
      <c r="E226" s="321"/>
      <c r="F226" s="566"/>
    </row>
    <row r="227" spans="1:7" s="240" customFormat="1" ht="28.5" customHeight="1" hidden="1" thickBot="1">
      <c r="A227" s="245"/>
      <c r="B227" s="247"/>
      <c r="C227" s="322"/>
      <c r="D227" s="320"/>
      <c r="E227" s="321"/>
      <c r="F227" s="566"/>
      <c r="G227" s="226"/>
    </row>
    <row r="228" spans="1:6" ht="18" customHeight="1" hidden="1" thickBot="1">
      <c r="A228" s="234"/>
      <c r="B228" s="236"/>
      <c r="C228" s="310"/>
      <c r="D228" s="310"/>
      <c r="E228" s="311"/>
      <c r="F228" s="564"/>
    </row>
    <row r="229" spans="1:6" ht="18.75" customHeight="1" hidden="1" thickBot="1">
      <c r="A229" s="667"/>
      <c r="B229" s="676"/>
      <c r="C229" s="676"/>
      <c r="D229" s="676"/>
      <c r="E229" s="677"/>
      <c r="F229" s="583"/>
    </row>
    <row r="230" spans="1:6" ht="18.75" customHeight="1" hidden="1">
      <c r="A230" s="267"/>
      <c r="B230" s="268"/>
      <c r="C230" s="326"/>
      <c r="D230" s="326"/>
      <c r="E230" s="327"/>
      <c r="F230" s="568"/>
    </row>
    <row r="231" spans="1:11" s="263" customFormat="1" ht="46.5" customHeight="1" hidden="1">
      <c r="A231" s="269"/>
      <c r="B231" s="266"/>
      <c r="C231" s="307"/>
      <c r="D231" s="307"/>
      <c r="E231" s="328"/>
      <c r="F231" s="560"/>
      <c r="G231" s="226"/>
      <c r="I231" s="264"/>
      <c r="J231" s="264"/>
      <c r="K231" s="264"/>
    </row>
    <row r="232" spans="1:11" s="263" customFormat="1" ht="29.25" customHeight="1" hidden="1">
      <c r="A232" s="269"/>
      <c r="B232" s="266"/>
      <c r="C232" s="307"/>
      <c r="D232" s="307"/>
      <c r="E232" s="328"/>
      <c r="F232" s="560"/>
      <c r="G232" s="226"/>
      <c r="I232" s="264"/>
      <c r="J232" s="264"/>
      <c r="K232" s="264"/>
    </row>
    <row r="233" spans="1:11" s="263" customFormat="1" ht="28.5" customHeight="1" hidden="1">
      <c r="A233" s="269"/>
      <c r="B233" s="266"/>
      <c r="C233" s="307"/>
      <c r="D233" s="307"/>
      <c r="E233" s="328"/>
      <c r="F233" s="560"/>
      <c r="G233" s="226"/>
      <c r="I233" s="264"/>
      <c r="J233" s="264"/>
      <c r="K233" s="264"/>
    </row>
    <row r="234" spans="1:6" ht="15.75" hidden="1" thickBot="1">
      <c r="A234" s="245"/>
      <c r="B234" s="247"/>
      <c r="C234" s="322"/>
      <c r="D234" s="322"/>
      <c r="E234" s="324"/>
      <c r="F234" s="561"/>
    </row>
    <row r="235" spans="1:14" s="260" customFormat="1" ht="15.75" hidden="1" thickBot="1">
      <c r="A235" s="269"/>
      <c r="B235" s="266"/>
      <c r="C235" s="307"/>
      <c r="D235" s="307"/>
      <c r="E235" s="328"/>
      <c r="F235" s="560"/>
      <c r="G235" s="226"/>
      <c r="H235" s="262"/>
      <c r="I235" s="261"/>
      <c r="J235" s="261"/>
      <c r="K235" s="261"/>
      <c r="N235" s="261"/>
    </row>
    <row r="236" spans="1:14" s="260" customFormat="1" ht="15.75" hidden="1" thickBot="1">
      <c r="A236" s="269"/>
      <c r="B236" s="266"/>
      <c r="C236" s="307"/>
      <c r="D236" s="307"/>
      <c r="E236" s="328"/>
      <c r="F236" s="560"/>
      <c r="G236" s="226"/>
      <c r="H236" s="262"/>
      <c r="I236" s="261"/>
      <c r="J236" s="261"/>
      <c r="K236" s="261"/>
      <c r="N236" s="261"/>
    </row>
    <row r="237" spans="1:14" s="260" customFormat="1" ht="15.75" hidden="1" thickBot="1">
      <c r="A237" s="269"/>
      <c r="B237" s="266"/>
      <c r="C237" s="307"/>
      <c r="D237" s="307"/>
      <c r="E237" s="328"/>
      <c r="F237" s="560"/>
      <c r="G237" s="226"/>
      <c r="H237" s="262"/>
      <c r="I237" s="261"/>
      <c r="J237" s="261"/>
      <c r="K237" s="261"/>
      <c r="N237" s="261"/>
    </row>
    <row r="238" spans="1:14" s="260" customFormat="1" ht="15.75" hidden="1" thickBot="1">
      <c r="A238" s="269"/>
      <c r="B238" s="266"/>
      <c r="C238" s="307"/>
      <c r="D238" s="307"/>
      <c r="E238" s="328"/>
      <c r="F238" s="560"/>
      <c r="G238" s="226"/>
      <c r="H238" s="262"/>
      <c r="I238" s="261"/>
      <c r="J238" s="261"/>
      <c r="K238" s="261"/>
      <c r="N238" s="261"/>
    </row>
    <row r="239" spans="1:6" ht="18.75" customHeight="1" hidden="1">
      <c r="A239" s="245"/>
      <c r="B239" s="247"/>
      <c r="C239" s="322"/>
      <c r="D239" s="322"/>
      <c r="E239" s="324"/>
      <c r="F239" s="561"/>
    </row>
    <row r="240" spans="1:6" ht="18.75" customHeight="1" hidden="1">
      <c r="A240" s="245"/>
      <c r="B240" s="247"/>
      <c r="C240" s="322"/>
      <c r="D240" s="322"/>
      <c r="E240" s="324"/>
      <c r="F240" s="561"/>
    </row>
    <row r="241" spans="1:6" ht="18.75" customHeight="1" hidden="1">
      <c r="A241" s="245"/>
      <c r="B241" s="247"/>
      <c r="C241" s="322"/>
      <c r="D241" s="322"/>
      <c r="E241" s="324"/>
      <c r="F241" s="561"/>
    </row>
    <row r="242" spans="1:6" ht="18.75" customHeight="1" hidden="1">
      <c r="A242" s="245"/>
      <c r="B242" s="247"/>
      <c r="C242" s="322"/>
      <c r="D242" s="322"/>
      <c r="E242" s="324"/>
      <c r="F242" s="561"/>
    </row>
    <row r="243" spans="1:6" ht="18.75" customHeight="1" hidden="1">
      <c r="A243" s="245"/>
      <c r="B243" s="247"/>
      <c r="C243" s="322"/>
      <c r="D243" s="322"/>
      <c r="E243" s="324"/>
      <c r="F243" s="561"/>
    </row>
    <row r="244" spans="1:6" ht="33.75" customHeight="1" hidden="1">
      <c r="A244" s="245"/>
      <c r="B244" s="247"/>
      <c r="C244" s="322"/>
      <c r="D244" s="322"/>
      <c r="E244" s="324"/>
      <c r="F244" s="561"/>
    </row>
    <row r="245" spans="1:6" ht="18.75" customHeight="1" hidden="1" thickBot="1">
      <c r="A245" s="270"/>
      <c r="B245" s="271"/>
      <c r="C245" s="318"/>
      <c r="D245" s="318"/>
      <c r="E245" s="325"/>
      <c r="F245" s="567"/>
    </row>
    <row r="246" spans="1:6" ht="18.75" customHeight="1" hidden="1" thickBot="1">
      <c r="A246" s="234"/>
      <c r="B246" s="236"/>
      <c r="C246" s="310"/>
      <c r="D246" s="310"/>
      <c r="E246" s="311"/>
      <c r="F246" s="564"/>
    </row>
    <row r="247" spans="1:6" ht="18.75" customHeight="1" hidden="1" thickBot="1">
      <c r="A247" s="664"/>
      <c r="B247" s="665"/>
      <c r="C247" s="665"/>
      <c r="D247" s="665"/>
      <c r="E247" s="666"/>
      <c r="F247" s="583"/>
    </row>
    <row r="248" spans="1:6" ht="13.5" customHeight="1" hidden="1">
      <c r="A248" s="230"/>
      <c r="B248" s="247"/>
      <c r="C248" s="319"/>
      <c r="D248" s="320"/>
      <c r="E248" s="321"/>
      <c r="F248" s="566"/>
    </row>
    <row r="249" spans="1:11" s="263" customFormat="1" ht="44.25" customHeight="1" hidden="1">
      <c r="A249" s="258"/>
      <c r="B249" s="259"/>
      <c r="C249" s="307"/>
      <c r="D249" s="308"/>
      <c r="E249" s="309"/>
      <c r="F249" s="565"/>
      <c r="G249" s="226"/>
      <c r="I249" s="264"/>
      <c r="J249" s="264"/>
      <c r="K249" s="264"/>
    </row>
    <row r="250" spans="1:11" s="263" customFormat="1" ht="31.5" customHeight="1" hidden="1">
      <c r="A250" s="258"/>
      <c r="B250" s="259"/>
      <c r="C250" s="307"/>
      <c r="D250" s="308"/>
      <c r="E250" s="309"/>
      <c r="F250" s="565"/>
      <c r="G250" s="226"/>
      <c r="I250" s="264"/>
      <c r="J250" s="264"/>
      <c r="K250" s="264"/>
    </row>
    <row r="251" spans="1:11" s="263" customFormat="1" ht="33" customHeight="1" hidden="1">
      <c r="A251" s="258"/>
      <c r="B251" s="259"/>
      <c r="C251" s="307"/>
      <c r="D251" s="308"/>
      <c r="E251" s="309"/>
      <c r="F251" s="565"/>
      <c r="G251" s="226"/>
      <c r="I251" s="264"/>
      <c r="J251" s="264"/>
      <c r="K251" s="264"/>
    </row>
    <row r="252" spans="1:6" ht="19.5" customHeight="1" hidden="1">
      <c r="A252" s="231"/>
      <c r="B252" s="247"/>
      <c r="C252" s="322"/>
      <c r="D252" s="320"/>
      <c r="E252" s="321"/>
      <c r="F252" s="566"/>
    </row>
    <row r="253" spans="1:6" ht="19.5" customHeight="1" hidden="1">
      <c r="A253" s="231"/>
      <c r="B253" s="247"/>
      <c r="C253" s="322"/>
      <c r="D253" s="320"/>
      <c r="E253" s="321"/>
      <c r="F253" s="566"/>
    </row>
    <row r="254" spans="1:14" s="260" customFormat="1" ht="15.75" hidden="1" thickBot="1">
      <c r="A254" s="258"/>
      <c r="B254" s="259"/>
      <c r="C254" s="307"/>
      <c r="D254" s="308"/>
      <c r="E254" s="309"/>
      <c r="F254" s="565"/>
      <c r="G254" s="226"/>
      <c r="H254" s="262"/>
      <c r="I254" s="261"/>
      <c r="J254" s="261"/>
      <c r="K254" s="261"/>
      <c r="N254" s="261"/>
    </row>
    <row r="255" spans="1:14" s="260" customFormat="1" ht="15.75" hidden="1" thickBot="1">
      <c r="A255" s="258"/>
      <c r="B255" s="259"/>
      <c r="C255" s="307"/>
      <c r="D255" s="308"/>
      <c r="E255" s="309"/>
      <c r="F255" s="565"/>
      <c r="G255" s="226"/>
      <c r="H255" s="262"/>
      <c r="I255" s="261"/>
      <c r="J255" s="261"/>
      <c r="K255" s="261"/>
      <c r="N255" s="261"/>
    </row>
    <row r="256" spans="1:14" s="260" customFormat="1" ht="15.75" hidden="1" thickBot="1">
      <c r="A256" s="258"/>
      <c r="B256" s="259"/>
      <c r="C256" s="307"/>
      <c r="D256" s="308"/>
      <c r="E256" s="309"/>
      <c r="F256" s="565"/>
      <c r="G256" s="226"/>
      <c r="H256" s="262"/>
      <c r="I256" s="261"/>
      <c r="J256" s="261"/>
      <c r="K256" s="261"/>
      <c r="N256" s="261"/>
    </row>
    <row r="257" spans="1:14" s="260" customFormat="1" ht="15.75" hidden="1" thickBot="1">
      <c r="A257" s="258"/>
      <c r="B257" s="259"/>
      <c r="C257" s="307"/>
      <c r="D257" s="308"/>
      <c r="E257" s="309"/>
      <c r="F257" s="565"/>
      <c r="G257" s="226"/>
      <c r="H257" s="262"/>
      <c r="I257" s="261"/>
      <c r="J257" s="261"/>
      <c r="K257" s="261"/>
      <c r="N257" s="261"/>
    </row>
    <row r="258" spans="1:6" ht="13.5" customHeight="1" hidden="1">
      <c r="A258" s="231"/>
      <c r="B258" s="247"/>
      <c r="C258" s="322"/>
      <c r="D258" s="320"/>
      <c r="E258" s="321"/>
      <c r="F258" s="566"/>
    </row>
    <row r="259" spans="1:6" ht="13.5" customHeight="1" hidden="1">
      <c r="A259" s="245"/>
      <c r="B259" s="247"/>
      <c r="C259" s="322"/>
      <c r="D259" s="320"/>
      <c r="E259" s="321"/>
      <c r="F259" s="566"/>
    </row>
    <row r="260" spans="1:6" ht="13.5" customHeight="1" hidden="1">
      <c r="A260" s="245"/>
      <c r="B260" s="247"/>
      <c r="C260" s="322"/>
      <c r="D260" s="320"/>
      <c r="E260" s="321"/>
      <c r="F260" s="566"/>
    </row>
    <row r="261" spans="1:7" s="253" customFormat="1" ht="12.75" customHeight="1" hidden="1">
      <c r="A261" s="251"/>
      <c r="B261" s="252"/>
      <c r="C261" s="322"/>
      <c r="D261" s="320"/>
      <c r="E261" s="321"/>
      <c r="F261" s="566"/>
      <c r="G261" s="226"/>
    </row>
    <row r="262" spans="1:6" ht="17.25" customHeight="1" hidden="1">
      <c r="A262" s="245"/>
      <c r="B262" s="247"/>
      <c r="C262" s="322"/>
      <c r="D262" s="320"/>
      <c r="E262" s="321"/>
      <c r="F262" s="566"/>
    </row>
    <row r="263" spans="1:6" ht="27.75" customHeight="1" hidden="1">
      <c r="A263" s="231"/>
      <c r="B263" s="247"/>
      <c r="C263" s="322"/>
      <c r="D263" s="320"/>
      <c r="E263" s="321"/>
      <c r="F263" s="566"/>
    </row>
    <row r="264" spans="1:6" ht="15.75" hidden="1" thickBot="1">
      <c r="A264" s="237"/>
      <c r="B264" s="247"/>
      <c r="C264" s="322"/>
      <c r="D264" s="320"/>
      <c r="E264" s="321"/>
      <c r="F264" s="566"/>
    </row>
    <row r="265" spans="1:6" ht="21" customHeight="1" hidden="1" thickBot="1">
      <c r="A265" s="234"/>
      <c r="B265" s="236"/>
      <c r="C265" s="310"/>
      <c r="D265" s="310"/>
      <c r="E265" s="311"/>
      <c r="F265" s="564"/>
    </row>
    <row r="266" spans="1:6" ht="17.25" customHeight="1" hidden="1" thickBot="1">
      <c r="A266" s="664"/>
      <c r="B266" s="665"/>
      <c r="C266" s="665"/>
      <c r="D266" s="665"/>
      <c r="E266" s="666"/>
      <c r="F266" s="583"/>
    </row>
    <row r="267" spans="1:6" ht="13.5" customHeight="1" hidden="1">
      <c r="A267" s="245"/>
      <c r="B267" s="247"/>
      <c r="C267" s="322"/>
      <c r="D267" s="320"/>
      <c r="E267" s="321"/>
      <c r="F267" s="566"/>
    </row>
    <row r="268" spans="1:11" s="263" customFormat="1" ht="42" customHeight="1" hidden="1">
      <c r="A268" s="258"/>
      <c r="B268" s="259"/>
      <c r="C268" s="307"/>
      <c r="D268" s="308"/>
      <c r="E268" s="309"/>
      <c r="F268" s="565"/>
      <c r="G268" s="226"/>
      <c r="I268" s="264"/>
      <c r="J268" s="264"/>
      <c r="K268" s="264"/>
    </row>
    <row r="269" spans="1:11" s="263" customFormat="1" ht="31.5" customHeight="1" hidden="1">
      <c r="A269" s="258"/>
      <c r="B269" s="259"/>
      <c r="C269" s="307"/>
      <c r="D269" s="308"/>
      <c r="E269" s="309"/>
      <c r="F269" s="565"/>
      <c r="G269" s="226"/>
      <c r="I269" s="264"/>
      <c r="J269" s="264"/>
      <c r="K269" s="264"/>
    </row>
    <row r="270" spans="1:11" s="263" customFormat="1" ht="33" customHeight="1" hidden="1">
      <c r="A270" s="258"/>
      <c r="B270" s="259"/>
      <c r="C270" s="307"/>
      <c r="D270" s="308"/>
      <c r="E270" s="309"/>
      <c r="F270" s="565"/>
      <c r="G270" s="226"/>
      <c r="I270" s="264"/>
      <c r="J270" s="264"/>
      <c r="K270" s="264"/>
    </row>
    <row r="271" spans="1:6" ht="19.5" customHeight="1" hidden="1">
      <c r="A271" s="232"/>
      <c r="B271" s="247"/>
      <c r="C271" s="322"/>
      <c r="D271" s="320"/>
      <c r="E271" s="321"/>
      <c r="F271" s="566"/>
    </row>
    <row r="272" spans="1:14" s="260" customFormat="1" ht="15.75" hidden="1" thickBot="1">
      <c r="A272" s="258"/>
      <c r="B272" s="259"/>
      <c r="C272" s="307"/>
      <c r="D272" s="308"/>
      <c r="E272" s="309"/>
      <c r="F272" s="565"/>
      <c r="G272" s="226"/>
      <c r="H272" s="262"/>
      <c r="I272" s="261"/>
      <c r="J272" s="261"/>
      <c r="K272" s="261"/>
      <c r="N272" s="261"/>
    </row>
    <row r="273" spans="1:14" s="260" customFormat="1" ht="15.75" hidden="1" thickBot="1">
      <c r="A273" s="258"/>
      <c r="B273" s="259"/>
      <c r="C273" s="307"/>
      <c r="D273" s="308"/>
      <c r="E273" s="309"/>
      <c r="F273" s="565"/>
      <c r="G273" s="226"/>
      <c r="H273" s="262"/>
      <c r="I273" s="261"/>
      <c r="J273" s="261"/>
      <c r="K273" s="261"/>
      <c r="N273" s="261"/>
    </row>
    <row r="274" spans="1:14" s="260" customFormat="1" ht="15.75" hidden="1" thickBot="1">
      <c r="A274" s="258"/>
      <c r="B274" s="259"/>
      <c r="C274" s="307"/>
      <c r="D274" s="308"/>
      <c r="E274" s="309"/>
      <c r="F274" s="565"/>
      <c r="G274" s="226"/>
      <c r="H274" s="262"/>
      <c r="I274" s="261"/>
      <c r="J274" s="261"/>
      <c r="K274" s="261"/>
      <c r="N274" s="261"/>
    </row>
    <row r="275" spans="1:14" s="260" customFormat="1" ht="15.75" hidden="1" thickBot="1">
      <c r="A275" s="258"/>
      <c r="B275" s="259"/>
      <c r="C275" s="307"/>
      <c r="D275" s="308"/>
      <c r="E275" s="309"/>
      <c r="F275" s="565"/>
      <c r="G275" s="226"/>
      <c r="H275" s="262"/>
      <c r="I275" s="261"/>
      <c r="J275" s="261"/>
      <c r="K275" s="261"/>
      <c r="N275" s="261"/>
    </row>
    <row r="276" spans="1:6" ht="15.75" customHeight="1" hidden="1">
      <c r="A276" s="245"/>
      <c r="B276" s="247"/>
      <c r="C276" s="322"/>
      <c r="D276" s="320"/>
      <c r="E276" s="321"/>
      <c r="F276" s="566"/>
    </row>
    <row r="277" spans="1:6" ht="13.5" customHeight="1" hidden="1">
      <c r="A277" s="245"/>
      <c r="B277" s="247"/>
      <c r="C277" s="322"/>
      <c r="D277" s="320"/>
      <c r="E277" s="321"/>
      <c r="F277" s="566"/>
    </row>
    <row r="278" spans="1:6" ht="13.5" customHeight="1" hidden="1">
      <c r="A278" s="245"/>
      <c r="B278" s="247"/>
      <c r="C278" s="322"/>
      <c r="D278" s="320"/>
      <c r="E278" s="321"/>
      <c r="F278" s="566"/>
    </row>
    <row r="279" spans="1:6" ht="13.5" customHeight="1" hidden="1">
      <c r="A279" s="245"/>
      <c r="B279" s="247"/>
      <c r="C279" s="322"/>
      <c r="D279" s="320"/>
      <c r="E279" s="321"/>
      <c r="F279" s="566"/>
    </row>
    <row r="280" spans="1:6" ht="13.5" customHeight="1" hidden="1">
      <c r="A280" s="245"/>
      <c r="B280" s="247"/>
      <c r="C280" s="322"/>
      <c r="D280" s="320"/>
      <c r="E280" s="321"/>
      <c r="F280" s="566"/>
    </row>
    <row r="281" spans="1:6" ht="14.25" customHeight="1" hidden="1">
      <c r="A281" s="245"/>
      <c r="B281" s="247"/>
      <c r="C281" s="322"/>
      <c r="D281" s="320"/>
      <c r="E281" s="321"/>
      <c r="F281" s="566"/>
    </row>
    <row r="282" spans="1:6" ht="13.5" customHeight="1" hidden="1">
      <c r="A282" s="237"/>
      <c r="B282" s="247"/>
      <c r="C282" s="319"/>
      <c r="D282" s="320"/>
      <c r="E282" s="321"/>
      <c r="F282" s="566"/>
    </row>
    <row r="283" spans="1:6" ht="13.5" customHeight="1" hidden="1">
      <c r="A283" s="245"/>
      <c r="B283" s="247"/>
      <c r="C283" s="322"/>
      <c r="D283" s="320"/>
      <c r="E283" s="321"/>
      <c r="F283" s="566"/>
    </row>
    <row r="284" spans="1:6" ht="14.25" customHeight="1" hidden="1">
      <c r="A284" s="245"/>
      <c r="B284" s="247"/>
      <c r="C284" s="322"/>
      <c r="D284" s="320"/>
      <c r="E284" s="321"/>
      <c r="F284" s="566"/>
    </row>
    <row r="285" spans="1:6" ht="18.75" customHeight="1" hidden="1">
      <c r="A285" s="245"/>
      <c r="B285" s="247"/>
      <c r="C285" s="322"/>
      <c r="D285" s="320"/>
      <c r="E285" s="321"/>
      <c r="F285" s="566"/>
    </row>
    <row r="286" spans="1:6" ht="15.75" hidden="1" thickBot="1">
      <c r="A286" s="245"/>
      <c r="B286" s="247"/>
      <c r="C286" s="322"/>
      <c r="D286" s="320"/>
      <c r="E286" s="321"/>
      <c r="F286" s="566"/>
    </row>
    <row r="287" spans="1:6" ht="20.25" customHeight="1" hidden="1" thickBot="1">
      <c r="A287" s="234"/>
      <c r="B287" s="236"/>
      <c r="C287" s="310"/>
      <c r="D287" s="310"/>
      <c r="E287" s="311"/>
      <c r="F287" s="564"/>
    </row>
    <row r="288" spans="1:6" ht="18.75" customHeight="1" hidden="1" thickBot="1">
      <c r="A288" s="664"/>
      <c r="B288" s="665"/>
      <c r="C288" s="665"/>
      <c r="D288" s="665"/>
      <c r="E288" s="666"/>
      <c r="F288" s="583"/>
    </row>
    <row r="289" spans="1:6" ht="20.25" customHeight="1" hidden="1">
      <c r="A289" s="245"/>
      <c r="B289" s="247"/>
      <c r="C289" s="322"/>
      <c r="D289" s="320"/>
      <c r="E289" s="321"/>
      <c r="F289" s="566"/>
    </row>
    <row r="290" spans="1:11" s="263" customFormat="1" ht="45" customHeight="1" hidden="1">
      <c r="A290" s="258"/>
      <c r="B290" s="259"/>
      <c r="C290" s="307"/>
      <c r="D290" s="308"/>
      <c r="E290" s="309"/>
      <c r="F290" s="565"/>
      <c r="G290" s="226"/>
      <c r="I290" s="264"/>
      <c r="J290" s="264"/>
      <c r="K290" s="264"/>
    </row>
    <row r="291" spans="1:11" s="263" customFormat="1" ht="29.25" customHeight="1" hidden="1">
      <c r="A291" s="258"/>
      <c r="B291" s="259"/>
      <c r="C291" s="307"/>
      <c r="D291" s="308"/>
      <c r="E291" s="309"/>
      <c r="F291" s="565"/>
      <c r="G291" s="226"/>
      <c r="I291" s="264"/>
      <c r="J291" s="264"/>
      <c r="K291" s="264"/>
    </row>
    <row r="292" spans="1:11" s="263" customFormat="1" ht="29.25" customHeight="1" hidden="1">
      <c r="A292" s="258"/>
      <c r="B292" s="259"/>
      <c r="C292" s="307"/>
      <c r="D292" s="308"/>
      <c r="E292" s="309"/>
      <c r="F292" s="565"/>
      <c r="G292" s="226"/>
      <c r="I292" s="264"/>
      <c r="J292" s="264"/>
      <c r="K292" s="264"/>
    </row>
    <row r="293" spans="1:6" ht="20.25" customHeight="1" hidden="1">
      <c r="A293" s="245"/>
      <c r="B293" s="247"/>
      <c r="C293" s="322"/>
      <c r="D293" s="320"/>
      <c r="E293" s="321"/>
      <c r="F293" s="566"/>
    </row>
    <row r="294" spans="1:14" s="260" customFormat="1" ht="15.75" hidden="1" thickBot="1">
      <c r="A294" s="258"/>
      <c r="B294" s="259"/>
      <c r="C294" s="307"/>
      <c r="D294" s="308"/>
      <c r="E294" s="309"/>
      <c r="F294" s="565"/>
      <c r="G294" s="226"/>
      <c r="H294" s="262"/>
      <c r="I294" s="261"/>
      <c r="J294" s="261"/>
      <c r="K294" s="261"/>
      <c r="N294" s="261"/>
    </row>
    <row r="295" spans="1:14" s="260" customFormat="1" ht="15.75" hidden="1" thickBot="1">
      <c r="A295" s="258"/>
      <c r="B295" s="259"/>
      <c r="C295" s="307"/>
      <c r="D295" s="308"/>
      <c r="E295" s="309"/>
      <c r="F295" s="565"/>
      <c r="G295" s="226"/>
      <c r="H295" s="262"/>
      <c r="I295" s="261"/>
      <c r="J295" s="261"/>
      <c r="K295" s="261"/>
      <c r="N295" s="261"/>
    </row>
    <row r="296" spans="1:14" s="260" customFormat="1" ht="15.75" hidden="1" thickBot="1">
      <c r="A296" s="258"/>
      <c r="B296" s="259"/>
      <c r="C296" s="307"/>
      <c r="D296" s="308"/>
      <c r="E296" s="309"/>
      <c r="F296" s="565"/>
      <c r="G296" s="226"/>
      <c r="H296" s="262"/>
      <c r="I296" s="261"/>
      <c r="J296" s="261"/>
      <c r="K296" s="261"/>
      <c r="N296" s="261"/>
    </row>
    <row r="297" spans="1:14" s="260" customFormat="1" ht="15.75" hidden="1" thickBot="1">
      <c r="A297" s="258"/>
      <c r="B297" s="259"/>
      <c r="C297" s="307"/>
      <c r="D297" s="308"/>
      <c r="E297" s="309"/>
      <c r="F297" s="565"/>
      <c r="G297" s="226"/>
      <c r="H297" s="262"/>
      <c r="I297" s="261"/>
      <c r="J297" s="261"/>
      <c r="K297" s="261"/>
      <c r="N297" s="261"/>
    </row>
    <row r="298" spans="1:6" ht="13.5" customHeight="1" hidden="1">
      <c r="A298" s="245"/>
      <c r="B298" s="247"/>
      <c r="C298" s="322"/>
      <c r="D298" s="320"/>
      <c r="E298" s="321"/>
      <c r="F298" s="566"/>
    </row>
    <row r="299" spans="1:6" ht="13.5" customHeight="1" hidden="1">
      <c r="A299" s="245"/>
      <c r="B299" s="247"/>
      <c r="C299" s="322"/>
      <c r="D299" s="320"/>
      <c r="E299" s="321"/>
      <c r="F299" s="566"/>
    </row>
    <row r="300" spans="1:6" ht="13.5" customHeight="1" hidden="1">
      <c r="A300" s="245"/>
      <c r="B300" s="247"/>
      <c r="C300" s="322"/>
      <c r="D300" s="320"/>
      <c r="E300" s="321"/>
      <c r="F300" s="566"/>
    </row>
    <row r="301" spans="1:6" ht="13.5" customHeight="1" hidden="1">
      <c r="A301" s="245"/>
      <c r="B301" s="247"/>
      <c r="C301" s="322"/>
      <c r="D301" s="320"/>
      <c r="E301" s="321"/>
      <c r="F301" s="566"/>
    </row>
    <row r="302" spans="1:6" ht="13.5" customHeight="1" hidden="1">
      <c r="A302" s="245"/>
      <c r="B302" s="247"/>
      <c r="C302" s="322"/>
      <c r="D302" s="320"/>
      <c r="E302" s="321"/>
      <c r="F302" s="566"/>
    </row>
    <row r="303" spans="1:6" ht="15" customHeight="1" hidden="1">
      <c r="A303" s="245"/>
      <c r="B303" s="247"/>
      <c r="C303" s="322"/>
      <c r="D303" s="320"/>
      <c r="E303" s="321"/>
      <c r="F303" s="566"/>
    </row>
    <row r="304" spans="1:6" ht="16.5" customHeight="1" hidden="1">
      <c r="A304" s="245"/>
      <c r="B304" s="247"/>
      <c r="C304" s="322"/>
      <c r="D304" s="320"/>
      <c r="E304" s="321"/>
      <c r="F304" s="566"/>
    </row>
    <row r="305" spans="1:6" ht="29.25" customHeight="1" hidden="1">
      <c r="A305" s="237"/>
      <c r="B305" s="247"/>
      <c r="C305" s="319"/>
      <c r="D305" s="320"/>
      <c r="E305" s="321"/>
      <c r="F305" s="566"/>
    </row>
    <row r="306" spans="1:6" ht="15.75" hidden="1" thickBot="1">
      <c r="A306" s="254"/>
      <c r="B306" s="247"/>
      <c r="C306" s="322"/>
      <c r="D306" s="320"/>
      <c r="E306" s="321"/>
      <c r="F306" s="566"/>
    </row>
    <row r="307" spans="1:6" ht="24" customHeight="1" hidden="1" thickBot="1">
      <c r="A307" s="234"/>
      <c r="B307" s="236"/>
      <c r="C307" s="310"/>
      <c r="D307" s="310"/>
      <c r="E307" s="311"/>
      <c r="F307" s="564"/>
    </row>
    <row r="308" spans="1:6" ht="18" customHeight="1" hidden="1" thickBot="1">
      <c r="A308" s="664"/>
      <c r="B308" s="665"/>
      <c r="C308" s="665"/>
      <c r="D308" s="665"/>
      <c r="E308" s="666"/>
      <c r="F308" s="583"/>
    </row>
    <row r="309" spans="1:6" ht="13.5" customHeight="1" hidden="1">
      <c r="A309" s="245"/>
      <c r="B309" s="247"/>
      <c r="C309" s="329"/>
      <c r="D309" s="330"/>
      <c r="E309" s="331"/>
      <c r="F309" s="569"/>
    </row>
    <row r="310" spans="1:11" s="263" customFormat="1" ht="46.5" customHeight="1" hidden="1">
      <c r="A310" s="258"/>
      <c r="B310" s="259"/>
      <c r="C310" s="307"/>
      <c r="D310" s="308"/>
      <c r="E310" s="309"/>
      <c r="F310" s="565"/>
      <c r="G310" s="226"/>
      <c r="I310" s="264"/>
      <c r="J310" s="264"/>
      <c r="K310" s="264"/>
    </row>
    <row r="311" spans="1:11" s="263" customFormat="1" ht="31.5" customHeight="1" hidden="1">
      <c r="A311" s="258"/>
      <c r="B311" s="259"/>
      <c r="C311" s="307"/>
      <c r="D311" s="308"/>
      <c r="E311" s="309"/>
      <c r="F311" s="565"/>
      <c r="G311" s="226"/>
      <c r="I311" s="264"/>
      <c r="J311" s="264"/>
      <c r="K311" s="264"/>
    </row>
    <row r="312" spans="1:11" s="263" customFormat="1" ht="33" customHeight="1" hidden="1">
      <c r="A312" s="258"/>
      <c r="B312" s="259"/>
      <c r="C312" s="307"/>
      <c r="D312" s="308"/>
      <c r="E312" s="309"/>
      <c r="F312" s="565"/>
      <c r="G312" s="226"/>
      <c r="I312" s="264"/>
      <c r="J312" s="264"/>
      <c r="K312" s="264"/>
    </row>
    <row r="313" spans="1:6" ht="16.5" customHeight="1" hidden="1">
      <c r="A313" s="232"/>
      <c r="B313" s="247"/>
      <c r="C313" s="329"/>
      <c r="D313" s="320"/>
      <c r="E313" s="321"/>
      <c r="F313" s="566"/>
    </row>
    <row r="314" spans="1:14" s="260" customFormat="1" ht="15.75" hidden="1" thickBot="1">
      <c r="A314" s="258"/>
      <c r="B314" s="259"/>
      <c r="C314" s="307"/>
      <c r="D314" s="308"/>
      <c r="E314" s="309"/>
      <c r="F314" s="565"/>
      <c r="G314" s="226"/>
      <c r="H314" s="262"/>
      <c r="I314" s="261"/>
      <c r="J314" s="261"/>
      <c r="K314" s="261"/>
      <c r="N314" s="261"/>
    </row>
    <row r="315" spans="1:14" s="260" customFormat="1" ht="15.75" hidden="1" thickBot="1">
      <c r="A315" s="258"/>
      <c r="B315" s="259"/>
      <c r="C315" s="307"/>
      <c r="D315" s="308"/>
      <c r="E315" s="309"/>
      <c r="F315" s="565"/>
      <c r="G315" s="226"/>
      <c r="H315" s="262"/>
      <c r="I315" s="261"/>
      <c r="J315" s="261"/>
      <c r="K315" s="261"/>
      <c r="N315" s="261"/>
    </row>
    <row r="316" spans="1:14" s="260" customFormat="1" ht="15.75" hidden="1" thickBot="1">
      <c r="A316" s="258"/>
      <c r="B316" s="259"/>
      <c r="C316" s="307"/>
      <c r="D316" s="308"/>
      <c r="E316" s="309"/>
      <c r="F316" s="565"/>
      <c r="G316" s="226"/>
      <c r="H316" s="262"/>
      <c r="I316" s="261"/>
      <c r="J316" s="261"/>
      <c r="K316" s="261"/>
      <c r="N316" s="261"/>
    </row>
    <row r="317" spans="1:14" s="260" customFormat="1" ht="15.75" hidden="1" thickBot="1">
      <c r="A317" s="258"/>
      <c r="B317" s="259"/>
      <c r="C317" s="307"/>
      <c r="D317" s="308"/>
      <c r="E317" s="309"/>
      <c r="F317" s="565"/>
      <c r="G317" s="226"/>
      <c r="H317" s="262"/>
      <c r="I317" s="261"/>
      <c r="J317" s="261"/>
      <c r="K317" s="261"/>
      <c r="N317" s="261"/>
    </row>
    <row r="318" spans="1:6" ht="13.5" customHeight="1" hidden="1">
      <c r="A318" s="245"/>
      <c r="B318" s="247"/>
      <c r="C318" s="329"/>
      <c r="D318" s="330"/>
      <c r="E318" s="331"/>
      <c r="F318" s="569"/>
    </row>
    <row r="319" spans="1:6" ht="13.5" customHeight="1" hidden="1">
      <c r="A319" s="232"/>
      <c r="B319" s="247"/>
      <c r="C319" s="329"/>
      <c r="D319" s="330"/>
      <c r="E319" s="331"/>
      <c r="F319" s="569"/>
    </row>
    <row r="320" spans="1:6" ht="15.75" customHeight="1" hidden="1">
      <c r="A320" s="232"/>
      <c r="B320" s="247"/>
      <c r="C320" s="329"/>
      <c r="D320" s="330"/>
      <c r="E320" s="331"/>
      <c r="F320" s="569"/>
    </row>
    <row r="321" spans="1:6" ht="13.5" customHeight="1" hidden="1">
      <c r="A321" s="232"/>
      <c r="B321" s="247"/>
      <c r="C321" s="329"/>
      <c r="D321" s="330"/>
      <c r="E321" s="331"/>
      <c r="F321" s="569"/>
    </row>
    <row r="322" spans="1:6" ht="13.5" customHeight="1" hidden="1">
      <c r="A322" s="232"/>
      <c r="B322" s="247"/>
      <c r="C322" s="329"/>
      <c r="D322" s="330"/>
      <c r="E322" s="331"/>
      <c r="F322" s="569"/>
    </row>
    <row r="323" spans="1:6" ht="13.5" customHeight="1" hidden="1">
      <c r="A323" s="232"/>
      <c r="B323" s="247"/>
      <c r="C323" s="329"/>
      <c r="D323" s="330"/>
      <c r="E323" s="331"/>
      <c r="F323" s="569"/>
    </row>
    <row r="324" spans="1:6" ht="14.25" customHeight="1" hidden="1">
      <c r="A324" s="232"/>
      <c r="B324" s="247"/>
      <c r="C324" s="329"/>
      <c r="D324" s="330"/>
      <c r="E324" s="331"/>
      <c r="F324" s="569"/>
    </row>
    <row r="325" spans="1:6" ht="13.5" customHeight="1" hidden="1">
      <c r="A325" s="229"/>
      <c r="B325" s="247"/>
      <c r="C325" s="304"/>
      <c r="D325" s="330"/>
      <c r="E325" s="331"/>
      <c r="F325" s="569"/>
    </row>
    <row r="326" spans="1:6" ht="13.5" customHeight="1" hidden="1">
      <c r="A326" s="245"/>
      <c r="B326" s="247"/>
      <c r="C326" s="329"/>
      <c r="D326" s="330"/>
      <c r="E326" s="331"/>
      <c r="F326" s="569"/>
    </row>
    <row r="327" spans="1:6" ht="13.5" customHeight="1" hidden="1">
      <c r="A327" s="245"/>
      <c r="B327" s="247"/>
      <c r="C327" s="330"/>
      <c r="D327" s="330"/>
      <c r="E327" s="331"/>
      <c r="F327" s="569"/>
    </row>
    <row r="328" spans="1:6" ht="13.5" customHeight="1" hidden="1">
      <c r="A328" s="232"/>
      <c r="B328" s="247"/>
      <c r="C328" s="330"/>
      <c r="D328" s="330"/>
      <c r="E328" s="331"/>
      <c r="F328" s="569"/>
    </row>
    <row r="329" spans="1:6" ht="13.5" customHeight="1" hidden="1">
      <c r="A329" s="232"/>
      <c r="B329" s="247"/>
      <c r="C329" s="329"/>
      <c r="D329" s="330"/>
      <c r="E329" s="331"/>
      <c r="F329" s="569"/>
    </row>
    <row r="330" spans="1:6" ht="15.75" hidden="1" thickBot="1">
      <c r="A330" s="237"/>
      <c r="B330" s="247"/>
      <c r="C330" s="304"/>
      <c r="D330" s="302"/>
      <c r="E330" s="303"/>
      <c r="F330" s="346"/>
    </row>
    <row r="331" spans="1:6" ht="18" customHeight="1" hidden="1" thickBot="1">
      <c r="A331" s="234"/>
      <c r="B331" s="236"/>
      <c r="C331" s="310"/>
      <c r="D331" s="310"/>
      <c r="E331" s="311"/>
      <c r="F331" s="564"/>
    </row>
    <row r="332" spans="1:6" ht="15.75" customHeight="1" hidden="1" thickBot="1">
      <c r="A332" s="664"/>
      <c r="B332" s="665"/>
      <c r="C332" s="665"/>
      <c r="D332" s="665"/>
      <c r="E332" s="666"/>
      <c r="F332" s="583"/>
    </row>
    <row r="333" spans="1:6" ht="13.5" customHeight="1" hidden="1">
      <c r="A333" s="245"/>
      <c r="B333" s="247"/>
      <c r="C333" s="322"/>
      <c r="D333" s="320"/>
      <c r="E333" s="321"/>
      <c r="F333" s="566"/>
    </row>
    <row r="334" spans="1:11" s="263" customFormat="1" ht="45.75" customHeight="1" hidden="1">
      <c r="A334" s="258"/>
      <c r="B334" s="259"/>
      <c r="C334" s="307"/>
      <c r="D334" s="308"/>
      <c r="E334" s="309"/>
      <c r="F334" s="565"/>
      <c r="G334" s="226"/>
      <c r="I334" s="264"/>
      <c r="J334" s="264"/>
      <c r="K334" s="264"/>
    </row>
    <row r="335" spans="1:11" s="263" customFormat="1" ht="31.5" customHeight="1" hidden="1">
      <c r="A335" s="258"/>
      <c r="B335" s="259"/>
      <c r="C335" s="307"/>
      <c r="D335" s="308"/>
      <c r="E335" s="309"/>
      <c r="F335" s="565"/>
      <c r="G335" s="226"/>
      <c r="I335" s="264"/>
      <c r="J335" s="264"/>
      <c r="K335" s="264"/>
    </row>
    <row r="336" spans="1:11" s="263" customFormat="1" ht="33" customHeight="1" hidden="1">
      <c r="A336" s="258"/>
      <c r="B336" s="259"/>
      <c r="C336" s="307"/>
      <c r="D336" s="308"/>
      <c r="E336" s="309"/>
      <c r="F336" s="565"/>
      <c r="G336" s="226"/>
      <c r="I336" s="264"/>
      <c r="J336" s="264"/>
      <c r="K336" s="264"/>
    </row>
    <row r="337" spans="1:6" ht="13.5" customHeight="1" hidden="1">
      <c r="A337" s="245"/>
      <c r="B337" s="247"/>
      <c r="C337" s="322"/>
      <c r="D337" s="320"/>
      <c r="E337" s="321"/>
      <c r="F337" s="566"/>
    </row>
    <row r="338" spans="1:14" s="260" customFormat="1" ht="15.75" hidden="1" thickBot="1">
      <c r="A338" s="258"/>
      <c r="B338" s="259"/>
      <c r="C338" s="307"/>
      <c r="D338" s="308"/>
      <c r="E338" s="309"/>
      <c r="F338" s="565"/>
      <c r="G338" s="226"/>
      <c r="H338" s="262"/>
      <c r="I338" s="261"/>
      <c r="J338" s="261"/>
      <c r="K338" s="261"/>
      <c r="N338" s="261"/>
    </row>
    <row r="339" spans="1:14" s="260" customFormat="1" ht="15.75" hidden="1" thickBot="1">
      <c r="A339" s="258"/>
      <c r="B339" s="259"/>
      <c r="C339" s="307"/>
      <c r="D339" s="308"/>
      <c r="E339" s="309"/>
      <c r="F339" s="565"/>
      <c r="G339" s="226"/>
      <c r="H339" s="262"/>
      <c r="I339" s="261"/>
      <c r="J339" s="261"/>
      <c r="K339" s="261"/>
      <c r="N339" s="261"/>
    </row>
    <row r="340" spans="1:14" s="260" customFormat="1" ht="15.75" hidden="1" thickBot="1">
      <c r="A340" s="258"/>
      <c r="B340" s="259"/>
      <c r="C340" s="307"/>
      <c r="D340" s="308"/>
      <c r="E340" s="309"/>
      <c r="F340" s="565"/>
      <c r="G340" s="226"/>
      <c r="H340" s="262"/>
      <c r="I340" s="261"/>
      <c r="J340" s="261"/>
      <c r="K340" s="261"/>
      <c r="N340" s="261"/>
    </row>
    <row r="341" spans="1:14" s="260" customFormat="1" ht="15.75" hidden="1" thickBot="1">
      <c r="A341" s="258"/>
      <c r="B341" s="259"/>
      <c r="C341" s="307"/>
      <c r="D341" s="308"/>
      <c r="E341" s="309"/>
      <c r="F341" s="565"/>
      <c r="G341" s="226"/>
      <c r="H341" s="262"/>
      <c r="I341" s="261"/>
      <c r="J341" s="261"/>
      <c r="K341" s="261"/>
      <c r="N341" s="261"/>
    </row>
    <row r="342" spans="1:6" ht="13.5" customHeight="1" hidden="1">
      <c r="A342" s="245"/>
      <c r="B342" s="247"/>
      <c r="C342" s="322"/>
      <c r="D342" s="320"/>
      <c r="E342" s="321"/>
      <c r="F342" s="566"/>
    </row>
    <row r="343" spans="1:6" ht="13.5" customHeight="1" hidden="1">
      <c r="A343" s="245"/>
      <c r="B343" s="247"/>
      <c r="C343" s="322"/>
      <c r="D343" s="320"/>
      <c r="E343" s="321"/>
      <c r="F343" s="566"/>
    </row>
    <row r="344" spans="1:6" ht="13.5" customHeight="1" hidden="1">
      <c r="A344" s="245"/>
      <c r="B344" s="247"/>
      <c r="C344" s="322"/>
      <c r="D344" s="320"/>
      <c r="E344" s="321"/>
      <c r="F344" s="566"/>
    </row>
    <row r="345" spans="1:6" ht="14.25" customHeight="1" hidden="1">
      <c r="A345" s="245"/>
      <c r="B345" s="247"/>
      <c r="C345" s="322"/>
      <c r="D345" s="320"/>
      <c r="E345" s="321"/>
      <c r="F345" s="566"/>
    </row>
    <row r="346" spans="1:7" s="240" customFormat="1" ht="13.5" customHeight="1" hidden="1">
      <c r="A346" s="245"/>
      <c r="B346" s="247"/>
      <c r="C346" s="322"/>
      <c r="D346" s="320"/>
      <c r="E346" s="321"/>
      <c r="F346" s="566"/>
      <c r="G346" s="226"/>
    </row>
    <row r="347" spans="1:6" ht="13.5" customHeight="1" hidden="1">
      <c r="A347" s="245"/>
      <c r="B347" s="247"/>
      <c r="C347" s="322"/>
      <c r="D347" s="320"/>
      <c r="E347" s="321"/>
      <c r="F347" s="566"/>
    </row>
    <row r="348" spans="1:7" s="240" customFormat="1" ht="13.5" customHeight="1" hidden="1">
      <c r="A348" s="245"/>
      <c r="B348" s="247"/>
      <c r="C348" s="322"/>
      <c r="D348" s="320"/>
      <c r="E348" s="321"/>
      <c r="F348" s="566"/>
      <c r="G348" s="226"/>
    </row>
    <row r="349" spans="1:6" ht="13.5" customHeight="1" hidden="1">
      <c r="A349" s="237"/>
      <c r="B349" s="247"/>
      <c r="C349" s="319"/>
      <c r="D349" s="320"/>
      <c r="E349" s="321"/>
      <c r="F349" s="566"/>
    </row>
    <row r="350" spans="1:6" ht="13.5" customHeight="1" hidden="1">
      <c r="A350" s="245"/>
      <c r="B350" s="247"/>
      <c r="C350" s="322"/>
      <c r="D350" s="320"/>
      <c r="E350" s="321"/>
      <c r="F350" s="566"/>
    </row>
    <row r="351" spans="1:6" ht="13.5" customHeight="1" hidden="1">
      <c r="A351" s="245"/>
      <c r="B351" s="247"/>
      <c r="C351" s="322"/>
      <c r="D351" s="320"/>
      <c r="E351" s="321"/>
      <c r="F351" s="566"/>
    </row>
    <row r="352" spans="1:6" ht="16.5" customHeight="1" hidden="1">
      <c r="A352" s="245"/>
      <c r="B352" s="247"/>
      <c r="C352" s="322"/>
      <c r="D352" s="320"/>
      <c r="E352" s="321"/>
      <c r="F352" s="566"/>
    </row>
    <row r="353" spans="1:6" ht="15.75" hidden="1" thickBot="1">
      <c r="A353" s="245"/>
      <c r="B353" s="247"/>
      <c r="C353" s="322"/>
      <c r="D353" s="320"/>
      <c r="E353" s="321"/>
      <c r="F353" s="566"/>
    </row>
    <row r="354" spans="1:8" ht="19.5" customHeight="1" hidden="1" thickBot="1">
      <c r="A354" s="234"/>
      <c r="B354" s="236"/>
      <c r="C354" s="310"/>
      <c r="D354" s="310"/>
      <c r="E354" s="311"/>
      <c r="F354" s="564"/>
      <c r="H354" s="233"/>
    </row>
    <row r="355" spans="1:11" ht="18.75" customHeight="1">
      <c r="A355" s="655" t="s">
        <v>396</v>
      </c>
      <c r="B355" s="656"/>
      <c r="C355" s="656"/>
      <c r="D355" s="656"/>
      <c r="E355" s="656"/>
      <c r="F355" s="657"/>
      <c r="G355" s="227"/>
      <c r="H355" s="227"/>
      <c r="I355" s="227"/>
      <c r="J355" s="227"/>
      <c r="K355" s="227"/>
    </row>
    <row r="356" spans="1:6" ht="18.75" customHeight="1" thickBot="1">
      <c r="A356" s="542" t="s">
        <v>42</v>
      </c>
      <c r="B356" s="543">
        <f>ROUND(C356+D356+E356*2.9+F356*$H$1,0)</f>
        <v>3089</v>
      </c>
      <c r="C356" s="622">
        <f>189+51</f>
        <v>240</v>
      </c>
      <c r="D356" s="623">
        <f>164+46</f>
        <v>210</v>
      </c>
      <c r="E356" s="623">
        <f>712+198</f>
        <v>910</v>
      </c>
      <c r="F356" s="570">
        <v>0</v>
      </c>
    </row>
    <row r="357" spans="1:6" ht="18.75" customHeight="1" thickBot="1">
      <c r="A357" s="538" t="s">
        <v>7</v>
      </c>
      <c r="B357" s="539">
        <f>ROUND(C357+D357+E357*2.9+F357*$H$1,0)</f>
        <v>3089</v>
      </c>
      <c r="C357" s="540">
        <f>SUM(C356:C356)</f>
        <v>240</v>
      </c>
      <c r="D357" s="540">
        <f>SUM(D356:D356)</f>
        <v>210</v>
      </c>
      <c r="E357" s="541">
        <f>SUM(E356:E356)</f>
        <v>910</v>
      </c>
      <c r="F357" s="571">
        <f>SUM(F356:F356)</f>
        <v>0</v>
      </c>
    </row>
    <row r="358" spans="1:11" ht="18" customHeight="1">
      <c r="A358" s="655" t="s">
        <v>397</v>
      </c>
      <c r="B358" s="656"/>
      <c r="C358" s="656"/>
      <c r="D358" s="656"/>
      <c r="E358" s="656"/>
      <c r="F358" s="657"/>
      <c r="H358" s="227"/>
      <c r="I358" s="227"/>
      <c r="J358" s="227"/>
      <c r="K358" s="227"/>
    </row>
    <row r="359" spans="1:6" ht="21" customHeight="1" thickBot="1">
      <c r="A359" s="542" t="s">
        <v>42</v>
      </c>
      <c r="B359" s="543">
        <f>ROUND(C359+D359+E359*2.9+F359*$H$1,0)</f>
        <v>1978</v>
      </c>
      <c r="C359" s="544">
        <v>945</v>
      </c>
      <c r="D359" s="545">
        <v>82</v>
      </c>
      <c r="E359" s="545">
        <v>328</v>
      </c>
      <c r="F359" s="570">
        <v>0</v>
      </c>
    </row>
    <row r="360" spans="1:6" ht="19.5" customHeight="1" thickBot="1">
      <c r="A360" s="538" t="s">
        <v>7</v>
      </c>
      <c r="B360" s="539">
        <f>ROUND(C360+D360+E360*2.9+F360*$H$1,0)</f>
        <v>1978</v>
      </c>
      <c r="C360" s="540">
        <f>SUM(C359:C359)</f>
        <v>945</v>
      </c>
      <c r="D360" s="540">
        <f>SUM(D359:D359)</f>
        <v>82</v>
      </c>
      <c r="E360" s="541">
        <f>SUM(E359:E359)</f>
        <v>328</v>
      </c>
      <c r="F360" s="572">
        <f>SUM(F359:F359)</f>
        <v>0</v>
      </c>
    </row>
    <row r="361" spans="1:6" ht="20.25" customHeight="1">
      <c r="A361" s="655" t="s">
        <v>398</v>
      </c>
      <c r="B361" s="656"/>
      <c r="C361" s="656"/>
      <c r="D361" s="656"/>
      <c r="E361" s="656"/>
      <c r="F361" s="657"/>
    </row>
    <row r="362" spans="1:14" ht="18.75" customHeight="1">
      <c r="A362" s="229" t="s">
        <v>42</v>
      </c>
      <c r="B362" s="239">
        <f aca="true" t="shared" si="6" ref="B362:B368">ROUND(C362+D362+E362*2.9+F362*$H$1,0)</f>
        <v>11306</v>
      </c>
      <c r="C362" s="344">
        <v>5849</v>
      </c>
      <c r="D362" s="345">
        <v>260</v>
      </c>
      <c r="E362" s="345">
        <v>1792</v>
      </c>
      <c r="F362" s="573">
        <v>0</v>
      </c>
      <c r="H362" s="227"/>
      <c r="K362" s="227"/>
      <c r="L362" s="227"/>
      <c r="M362" s="227"/>
      <c r="N362" s="227"/>
    </row>
    <row r="363" spans="1:14" ht="18.75" customHeight="1" thickBot="1">
      <c r="A363" s="255" t="s">
        <v>43</v>
      </c>
      <c r="B363" s="272">
        <f t="shared" si="6"/>
        <v>7714</v>
      </c>
      <c r="C363" s="546">
        <v>3759</v>
      </c>
      <c r="D363" s="351">
        <v>185</v>
      </c>
      <c r="E363" s="351">
        <v>1300</v>
      </c>
      <c r="F363" s="574">
        <f>SUM(F362:F362)</f>
        <v>0</v>
      </c>
      <c r="H363" s="227"/>
      <c r="K363" s="227"/>
      <c r="L363" s="227"/>
      <c r="M363" s="227"/>
      <c r="N363" s="227"/>
    </row>
    <row r="364" spans="1:8" ht="18.75" customHeight="1" thickBot="1">
      <c r="A364" s="234" t="s">
        <v>7</v>
      </c>
      <c r="B364" s="235">
        <f t="shared" si="6"/>
        <v>19020</v>
      </c>
      <c r="C364" s="236">
        <f>SUM(C362:C363)</f>
        <v>9608</v>
      </c>
      <c r="D364" s="236">
        <f>SUM(D362:D363)</f>
        <v>445</v>
      </c>
      <c r="E364" s="527">
        <f>SUM(E362:E363)</f>
        <v>3092</v>
      </c>
      <c r="F364" s="575">
        <f>SUM(F362:F363)</f>
        <v>0</v>
      </c>
      <c r="H364" s="227"/>
    </row>
    <row r="365" spans="1:6" ht="18.75" customHeight="1">
      <c r="A365" s="655" t="s">
        <v>399</v>
      </c>
      <c r="B365" s="656"/>
      <c r="C365" s="656"/>
      <c r="D365" s="656"/>
      <c r="E365" s="656"/>
      <c r="F365" s="657"/>
    </row>
    <row r="366" spans="1:14" ht="15.75" customHeight="1">
      <c r="A366" s="229" t="s">
        <v>42</v>
      </c>
      <c r="B366" s="239">
        <f t="shared" si="6"/>
        <v>16020</v>
      </c>
      <c r="C366" s="344">
        <v>8133</v>
      </c>
      <c r="D366" s="345">
        <v>860</v>
      </c>
      <c r="E366" s="345">
        <v>2423</v>
      </c>
      <c r="F366" s="573">
        <v>0</v>
      </c>
      <c r="K366" s="227"/>
      <c r="L366" s="227"/>
      <c r="M366" s="227"/>
      <c r="N366" s="227"/>
    </row>
    <row r="367" spans="1:14" ht="15.75" customHeight="1" thickBot="1">
      <c r="A367" s="255" t="s">
        <v>43</v>
      </c>
      <c r="B367" s="272">
        <f t="shared" si="6"/>
        <v>9989</v>
      </c>
      <c r="C367" s="546">
        <v>5157</v>
      </c>
      <c r="D367" s="351">
        <v>470</v>
      </c>
      <c r="E367" s="351">
        <v>1504</v>
      </c>
      <c r="F367" s="574">
        <v>0</v>
      </c>
      <c r="K367" s="227"/>
      <c r="L367" s="227"/>
      <c r="M367" s="227"/>
      <c r="N367" s="227"/>
    </row>
    <row r="368" spans="1:8" ht="15.75" customHeight="1" thickBot="1">
      <c r="A368" s="234" t="s">
        <v>7</v>
      </c>
      <c r="B368" s="235">
        <f t="shared" si="6"/>
        <v>26008</v>
      </c>
      <c r="C368" s="236">
        <f>SUM(C366:C367)</f>
        <v>13290</v>
      </c>
      <c r="D368" s="236">
        <f>SUM(D366:D367)</f>
        <v>1330</v>
      </c>
      <c r="E368" s="527">
        <f>SUM(E366:E367)</f>
        <v>3927</v>
      </c>
      <c r="F368" s="575">
        <f>SUM(F366:F367)</f>
        <v>0</v>
      </c>
      <c r="H368" s="227"/>
    </row>
    <row r="369" spans="1:6" ht="15" customHeight="1">
      <c r="A369" s="655" t="s">
        <v>400</v>
      </c>
      <c r="B369" s="656"/>
      <c r="C369" s="656"/>
      <c r="D369" s="656"/>
      <c r="E369" s="656"/>
      <c r="F369" s="657"/>
    </row>
    <row r="370" spans="1:6" ht="15.75" customHeight="1">
      <c r="A370" s="237" t="s">
        <v>68</v>
      </c>
      <c r="B370" s="248">
        <f aca="true" t="shared" si="7" ref="B370:B376">ROUND(C370+D370+E370*2.9,0)</f>
        <v>733</v>
      </c>
      <c r="C370" s="359">
        <v>159</v>
      </c>
      <c r="D370" s="349">
        <v>0</v>
      </c>
      <c r="E370" s="349">
        <v>198</v>
      </c>
      <c r="F370" s="573">
        <v>0</v>
      </c>
    </row>
    <row r="371" spans="1:6" ht="15.75" customHeight="1">
      <c r="A371" s="237" t="s">
        <v>227</v>
      </c>
      <c r="B371" s="248">
        <f t="shared" si="7"/>
        <v>10</v>
      </c>
      <c r="C371" s="348">
        <v>4</v>
      </c>
      <c r="D371" s="349">
        <v>0</v>
      </c>
      <c r="E371" s="349">
        <v>2</v>
      </c>
      <c r="F371" s="573">
        <v>0</v>
      </c>
    </row>
    <row r="372" spans="1:6" ht="15.75" customHeight="1">
      <c r="A372" s="237" t="s">
        <v>1</v>
      </c>
      <c r="B372" s="248">
        <f t="shared" si="7"/>
        <v>527</v>
      </c>
      <c r="C372" s="348">
        <v>170</v>
      </c>
      <c r="D372" s="349">
        <v>0</v>
      </c>
      <c r="E372" s="349">
        <v>123</v>
      </c>
      <c r="F372" s="573">
        <v>0</v>
      </c>
    </row>
    <row r="373" spans="1:6" ht="15.75" customHeight="1">
      <c r="A373" s="237" t="s">
        <v>33</v>
      </c>
      <c r="B373" s="248">
        <f t="shared" si="7"/>
        <v>340</v>
      </c>
      <c r="C373" s="348">
        <v>88</v>
      </c>
      <c r="D373" s="349">
        <v>0</v>
      </c>
      <c r="E373" s="349">
        <v>87</v>
      </c>
      <c r="F373" s="573">
        <v>0</v>
      </c>
    </row>
    <row r="374" spans="1:6" ht="15.75" customHeight="1">
      <c r="A374" s="237" t="s">
        <v>62</v>
      </c>
      <c r="B374" s="248">
        <f t="shared" si="7"/>
        <v>10</v>
      </c>
      <c r="C374" s="348">
        <v>1</v>
      </c>
      <c r="D374" s="349">
        <v>0</v>
      </c>
      <c r="E374" s="349">
        <v>3</v>
      </c>
      <c r="F374" s="573">
        <v>0</v>
      </c>
    </row>
    <row r="375" spans="1:6" ht="15.75" customHeight="1">
      <c r="A375" s="237" t="s">
        <v>76</v>
      </c>
      <c r="B375" s="248">
        <f t="shared" si="7"/>
        <v>180</v>
      </c>
      <c r="C375" s="359">
        <v>15</v>
      </c>
      <c r="D375" s="349">
        <v>0</v>
      </c>
      <c r="E375" s="349">
        <v>57</v>
      </c>
      <c r="F375" s="573">
        <v>0</v>
      </c>
    </row>
    <row r="376" spans="1:14" ht="18.75" customHeight="1" thickBot="1">
      <c r="A376" s="229" t="s">
        <v>42</v>
      </c>
      <c r="B376" s="239">
        <f t="shared" si="7"/>
        <v>12686</v>
      </c>
      <c r="C376" s="344">
        <v>6170</v>
      </c>
      <c r="D376" s="345">
        <v>0</v>
      </c>
      <c r="E376" s="345">
        <v>2247</v>
      </c>
      <c r="F376" s="573">
        <v>0</v>
      </c>
      <c r="K376" s="227"/>
      <c r="L376" s="227"/>
      <c r="M376" s="227"/>
      <c r="N376" s="227"/>
    </row>
    <row r="377" spans="1:8" ht="18.75" customHeight="1" thickBot="1">
      <c r="A377" s="234" t="s">
        <v>7</v>
      </c>
      <c r="B377" s="235">
        <f>SUM(B370:B376)</f>
        <v>14486</v>
      </c>
      <c r="C377" s="236">
        <f>SUM(C370:C376)</f>
        <v>6607</v>
      </c>
      <c r="D377" s="236">
        <f>SUM(D370:D376)</f>
        <v>0</v>
      </c>
      <c r="E377" s="527">
        <f>SUM(E370:E376)</f>
        <v>2717</v>
      </c>
      <c r="F377" s="576">
        <f>SUM(F370:F376)</f>
        <v>0</v>
      </c>
      <c r="H377" s="227"/>
    </row>
    <row r="378" spans="1:6" ht="21.75" customHeight="1">
      <c r="A378" s="655" t="s">
        <v>401</v>
      </c>
      <c r="B378" s="656"/>
      <c r="C378" s="656"/>
      <c r="D378" s="656"/>
      <c r="E378" s="656"/>
      <c r="F378" s="657"/>
    </row>
    <row r="379" spans="1:6" ht="19.5" customHeight="1" thickBot="1">
      <c r="A379" s="542" t="s">
        <v>42</v>
      </c>
      <c r="B379" s="543">
        <f>ROUND(C379+D379+E379*2.9,0)</f>
        <v>4131</v>
      </c>
      <c r="C379" s="544">
        <v>4131</v>
      </c>
      <c r="D379" s="545">
        <v>0</v>
      </c>
      <c r="E379" s="545">
        <v>0</v>
      </c>
      <c r="F379" s="570">
        <v>0</v>
      </c>
    </row>
    <row r="380" spans="1:6" ht="18.75" customHeight="1" thickBot="1">
      <c r="A380" s="538" t="s">
        <v>7</v>
      </c>
      <c r="B380" s="539">
        <f>SUM(B379:B379)</f>
        <v>4131</v>
      </c>
      <c r="C380" s="540">
        <f>SUM(C379:C379)</f>
        <v>4131</v>
      </c>
      <c r="D380" s="540">
        <f>SUM(D379:D379)</f>
        <v>0</v>
      </c>
      <c r="E380" s="541">
        <f>SUM(E379:E379)</f>
        <v>0</v>
      </c>
      <c r="F380" s="572">
        <f>SUM(F379:F379)</f>
        <v>0</v>
      </c>
    </row>
    <row r="381" spans="1:6" ht="19.5" customHeight="1">
      <c r="A381" s="655" t="s">
        <v>402</v>
      </c>
      <c r="B381" s="656"/>
      <c r="C381" s="656"/>
      <c r="D381" s="656"/>
      <c r="E381" s="656"/>
      <c r="F381" s="657"/>
    </row>
    <row r="382" spans="1:14" ht="13.5" customHeight="1">
      <c r="A382" s="229" t="s">
        <v>42</v>
      </c>
      <c r="B382" s="239">
        <f>ROUND(C382+D382+E382*2.9,0)</f>
        <v>2048</v>
      </c>
      <c r="C382" s="344">
        <v>893</v>
      </c>
      <c r="D382" s="345">
        <v>56</v>
      </c>
      <c r="E382" s="345">
        <v>379</v>
      </c>
      <c r="F382" s="573">
        <v>0</v>
      </c>
      <c r="K382" s="227"/>
      <c r="L382" s="227"/>
      <c r="M382" s="227"/>
      <c r="N382" s="227"/>
    </row>
    <row r="383" spans="1:14" ht="21" customHeight="1" thickBot="1">
      <c r="A383" s="255" t="s">
        <v>43</v>
      </c>
      <c r="B383" s="272">
        <f>ROUND(C383+D383+E383*2.9,0)</f>
        <v>786</v>
      </c>
      <c r="C383" s="546">
        <v>221</v>
      </c>
      <c r="D383" s="351">
        <v>14</v>
      </c>
      <c r="E383" s="351">
        <v>190</v>
      </c>
      <c r="F383" s="574">
        <v>0</v>
      </c>
      <c r="K383" s="227"/>
      <c r="L383" s="227"/>
      <c r="M383" s="227"/>
      <c r="N383" s="227"/>
    </row>
    <row r="384" spans="1:8" ht="18.75" customHeight="1" thickBot="1">
      <c r="A384" s="234" t="s">
        <v>7</v>
      </c>
      <c r="B384" s="235">
        <f>SUM(B382:B383)</f>
        <v>2834</v>
      </c>
      <c r="C384" s="236">
        <f>SUM(C382:C383)</f>
        <v>1114</v>
      </c>
      <c r="D384" s="236">
        <f>SUM(D382:D383)</f>
        <v>70</v>
      </c>
      <c r="E384" s="527">
        <f>SUM(E382:E383)</f>
        <v>569</v>
      </c>
      <c r="F384" s="575">
        <f>SUM(F382:F383)</f>
        <v>0</v>
      </c>
      <c r="H384" s="227"/>
    </row>
    <row r="385" spans="1:14" ht="18.75" customHeight="1">
      <c r="A385" s="655" t="s">
        <v>403</v>
      </c>
      <c r="B385" s="656"/>
      <c r="C385" s="656"/>
      <c r="D385" s="656"/>
      <c r="E385" s="656"/>
      <c r="F385" s="657"/>
      <c r="K385" s="227"/>
      <c r="L385" s="227"/>
      <c r="M385" s="227"/>
      <c r="N385" s="227"/>
    </row>
    <row r="386" spans="1:6" ht="18.75" customHeight="1" thickBot="1">
      <c r="A386" s="542" t="s">
        <v>70</v>
      </c>
      <c r="B386" s="543">
        <f>ROUND(C386+D386+E386*2.9,0)</f>
        <v>580</v>
      </c>
      <c r="C386" s="544">
        <v>0</v>
      </c>
      <c r="D386" s="545">
        <v>0</v>
      </c>
      <c r="E386" s="545">
        <v>200</v>
      </c>
      <c r="F386" s="570">
        <v>0</v>
      </c>
    </row>
    <row r="387" spans="1:6" ht="18.75" customHeight="1" thickBot="1">
      <c r="A387" s="538" t="s">
        <v>7</v>
      </c>
      <c r="B387" s="539">
        <f>SUM(B386:B386)</f>
        <v>580</v>
      </c>
      <c r="C387" s="540">
        <f>SUM(C386:C386)</f>
        <v>0</v>
      </c>
      <c r="D387" s="540">
        <f>SUM(D386:D386)</f>
        <v>0</v>
      </c>
      <c r="E387" s="541">
        <f>SUM(E386:E386)</f>
        <v>200</v>
      </c>
      <c r="F387" s="572">
        <f>SUM(F386:F386)</f>
        <v>0</v>
      </c>
    </row>
    <row r="388" spans="1:6" ht="18.75" customHeight="1">
      <c r="A388" s="655" t="s">
        <v>404</v>
      </c>
      <c r="B388" s="656"/>
      <c r="C388" s="656"/>
      <c r="D388" s="656"/>
      <c r="E388" s="656"/>
      <c r="F388" s="657"/>
    </row>
    <row r="389" spans="1:6" ht="18.75" customHeight="1" thickBot="1">
      <c r="A389" s="542" t="s">
        <v>468</v>
      </c>
      <c r="B389" s="543">
        <f>ROUND(C389+D389+E389*2.9,0)</f>
        <v>6</v>
      </c>
      <c r="C389" s="544">
        <v>6</v>
      </c>
      <c r="D389" s="545">
        <v>0</v>
      </c>
      <c r="E389" s="545">
        <v>0</v>
      </c>
      <c r="F389" s="570">
        <v>0</v>
      </c>
    </row>
    <row r="390" spans="1:6" ht="18.75" customHeight="1" thickBot="1">
      <c r="A390" s="538" t="s">
        <v>7</v>
      </c>
      <c r="B390" s="539">
        <f>SUM(B389:B389)</f>
        <v>6</v>
      </c>
      <c r="C390" s="540">
        <f>SUM(C389:C389)</f>
        <v>6</v>
      </c>
      <c r="D390" s="540">
        <f>SUM(D389:D389)</f>
        <v>0</v>
      </c>
      <c r="E390" s="541">
        <f>SUM(E389:E389)</f>
        <v>0</v>
      </c>
      <c r="F390" s="572">
        <f>SUM(F389:F389)</f>
        <v>0</v>
      </c>
    </row>
    <row r="391" spans="1:6" ht="18.75" customHeight="1">
      <c r="A391" s="699" t="s">
        <v>518</v>
      </c>
      <c r="B391" s="700"/>
      <c r="C391" s="700"/>
      <c r="D391" s="700"/>
      <c r="E391" s="700"/>
      <c r="F391" s="701"/>
    </row>
    <row r="392" spans="1:6" ht="37.5" customHeight="1">
      <c r="A392" s="626" t="s">
        <v>516</v>
      </c>
      <c r="B392" s="627">
        <f>ROUND(C392+D392+E392*2.9,0)</f>
        <v>350</v>
      </c>
      <c r="C392" s="628">
        <v>109</v>
      </c>
      <c r="D392" s="629">
        <v>0</v>
      </c>
      <c r="E392" s="629">
        <v>83</v>
      </c>
      <c r="F392" s="630">
        <v>0</v>
      </c>
    </row>
    <row r="393" spans="1:6" ht="27" customHeight="1" thickBot="1">
      <c r="A393" s="631" t="s">
        <v>517</v>
      </c>
      <c r="B393" s="607">
        <f>ROUND(C393+D393+E393*2.9,0)</f>
        <v>850</v>
      </c>
      <c r="C393" s="608">
        <v>166</v>
      </c>
      <c r="D393" s="609">
        <v>0</v>
      </c>
      <c r="E393" s="609">
        <v>236</v>
      </c>
      <c r="F393" s="632">
        <v>0</v>
      </c>
    </row>
    <row r="394" spans="1:6" ht="18.75" customHeight="1" thickBot="1">
      <c r="A394" s="633" t="s">
        <v>7</v>
      </c>
      <c r="B394" s="634">
        <f>SUM(B392:B393)</f>
        <v>1200</v>
      </c>
      <c r="C394" s="635">
        <f>SUM(C392:C393)</f>
        <v>275</v>
      </c>
      <c r="D394" s="635">
        <f>SUM(D392:D393)</f>
        <v>0</v>
      </c>
      <c r="E394" s="636">
        <f>SUM(E392:E393)</f>
        <v>319</v>
      </c>
      <c r="F394" s="637">
        <f>SUM(F392:F393)</f>
        <v>0</v>
      </c>
    </row>
    <row r="395" spans="1:6" ht="31.5" customHeight="1">
      <c r="A395" s="655" t="s">
        <v>519</v>
      </c>
      <c r="B395" s="656"/>
      <c r="C395" s="656"/>
      <c r="D395" s="656"/>
      <c r="E395" s="656"/>
      <c r="F395" s="657"/>
    </row>
    <row r="396" spans="1:9" ht="29.25" customHeight="1" thickBot="1">
      <c r="A396" s="542" t="s">
        <v>204</v>
      </c>
      <c r="B396" s="543">
        <f>ROUND(C396+D396+E396*2.9,0)</f>
        <v>21028</v>
      </c>
      <c r="C396" s="544">
        <v>8331</v>
      </c>
      <c r="D396" s="545">
        <v>2115</v>
      </c>
      <c r="E396" s="545">
        <v>3649</v>
      </c>
      <c r="F396" s="570">
        <v>0</v>
      </c>
      <c r="G396" s="227"/>
      <c r="H396" s="227"/>
      <c r="I396" s="227"/>
    </row>
    <row r="397" spans="1:16" ht="29.25" thickBot="1">
      <c r="A397" s="256" t="s">
        <v>14</v>
      </c>
      <c r="B397" s="332">
        <f>B384+B380+B377+B368+B364+B360+B357+B354+B331+B307+B287+B265+B246+B228+B207+B184+B180+B146+B99+B71+B67+B56+B133+B387+B396+B390</f>
        <v>1172305</v>
      </c>
      <c r="C397" s="332">
        <f>C384+C380+C377+C368+C364+C360+C357+C354+C331+C307+C287+C265+C246+C228+C207+C184+C180+C146+C99+C71+C67+C56+C133+C387+C396+C390+C394</f>
        <v>367223</v>
      </c>
      <c r="D397" s="332">
        <f>D384+D380+D377+D368+D364+D360+D357+D354+D331+D307+D287+D265+D246+D228+D207+D184+D180+D146+D99+D71+D67+D56+D133+D387+D396+D390+D394</f>
        <v>72631</v>
      </c>
      <c r="E397" s="547">
        <f>E384+E380+E377+E368+E364+E360+E357+E354+E331+E307+E287+E265+E246+E228+E207+E184+E180+E146+E99+E71+E67+E56+E133+E387+E396+E390+E394</f>
        <v>240844</v>
      </c>
      <c r="F397" s="577">
        <f>F384+F380+F377+F368+F364+F360+F357+F354+F331+F307+F287+F265+F246+F228+F207+F184+F180+F146+F99+F71+F67+F56+F133+F387+F396+F390+F394</f>
        <v>35204</v>
      </c>
      <c r="G397" s="227">
        <f>H397+I397+J397*2.9+K397</f>
        <v>1173505.6</v>
      </c>
      <c r="H397" s="343">
        <f>35722+44575+286926</f>
        <v>367223</v>
      </c>
      <c r="I397" s="343">
        <v>72631</v>
      </c>
      <c r="J397" s="343">
        <f>240447+397</f>
        <v>240844</v>
      </c>
      <c r="K397" s="343">
        <v>35204</v>
      </c>
      <c r="L397" s="227"/>
      <c r="M397" s="227"/>
      <c r="N397" s="227"/>
      <c r="O397" s="227"/>
      <c r="P397" s="227"/>
    </row>
    <row r="398" spans="1:16" s="263" customFormat="1" ht="42.75" customHeight="1">
      <c r="A398" s="275" t="s">
        <v>372</v>
      </c>
      <c r="B398" s="259">
        <f>ROUND(C398+D398+E398*2.9,0)</f>
        <v>80297</v>
      </c>
      <c r="C398" s="307">
        <f>SUM(C399:C404)-C400</f>
        <v>80297</v>
      </c>
      <c r="D398" s="307">
        <f>SUM(D399:D404)-D400</f>
        <v>0</v>
      </c>
      <c r="E398" s="548">
        <f>SUM(E399:E404)-E400</f>
        <v>0</v>
      </c>
      <c r="F398" s="560">
        <f>SUM(F399:F404)-F400</f>
        <v>0</v>
      </c>
      <c r="G398" s="261">
        <f>G397-B397</f>
        <v>1200.6000000000931</v>
      </c>
      <c r="H398" s="261">
        <f>H397-C397</f>
        <v>0</v>
      </c>
      <c r="I398" s="261">
        <f>I397-D397</f>
        <v>0</v>
      </c>
      <c r="J398" s="261">
        <f>J397-E397</f>
        <v>0</v>
      </c>
      <c r="K398" s="261">
        <f>K397-F397</f>
        <v>0</v>
      </c>
      <c r="L398" s="227"/>
      <c r="M398" s="227"/>
      <c r="N398" s="227"/>
      <c r="O398" s="227"/>
      <c r="P398" s="227"/>
    </row>
    <row r="399" spans="1:16" s="263" customFormat="1" ht="30" customHeight="1">
      <c r="A399" s="258" t="s">
        <v>371</v>
      </c>
      <c r="B399" s="259">
        <f aca="true" t="shared" si="8" ref="B399:B404">ROUND(C399+D399+E399*2.9,0)</f>
        <v>44041</v>
      </c>
      <c r="C399" s="307">
        <f>C138+C168+C188+C211+C232+C250+C269+C291+C311+C335+C39</f>
        <v>44041</v>
      </c>
      <c r="D399" s="308">
        <f aca="true" t="shared" si="9" ref="D399:F400">D138+D168+D188+D211+D232+D250+D269+D291+D311+D335</f>
        <v>0</v>
      </c>
      <c r="E399" s="308">
        <f t="shared" si="9"/>
        <v>0</v>
      </c>
      <c r="F399" s="565">
        <f t="shared" si="9"/>
        <v>0</v>
      </c>
      <c r="G399" s="261">
        <f>'1.1. ПРОФ.МЕРОПРИЯТИЯ'!E23</f>
        <v>44041</v>
      </c>
      <c r="H399" s="264">
        <f aca="true" t="shared" si="10" ref="H399:H404">G399-B399</f>
        <v>0</v>
      </c>
      <c r="I399" s="264"/>
      <c r="J399" s="264"/>
      <c r="K399" s="264"/>
      <c r="L399" s="227"/>
      <c r="M399" s="227"/>
      <c r="N399" s="227"/>
      <c r="O399" s="227"/>
      <c r="P399" s="227"/>
    </row>
    <row r="400" spans="1:16" s="263" customFormat="1" ht="23.25" customHeight="1">
      <c r="A400" s="258" t="s">
        <v>370</v>
      </c>
      <c r="B400" s="259">
        <f t="shared" si="8"/>
        <v>3020</v>
      </c>
      <c r="C400" s="307">
        <f>C139+C169+C189+C212+C233+C251+C270+C292+C312+C336+C40</f>
        <v>3020</v>
      </c>
      <c r="D400" s="308">
        <f t="shared" si="9"/>
        <v>0</v>
      </c>
      <c r="E400" s="308">
        <f t="shared" si="9"/>
        <v>0</v>
      </c>
      <c r="F400" s="565">
        <f t="shared" si="9"/>
        <v>0</v>
      </c>
      <c r="G400" s="261">
        <f>'1.1. ПРОФ.МЕРОПРИЯТИЯ'!F23</f>
        <v>3020</v>
      </c>
      <c r="H400" s="264">
        <f t="shared" si="10"/>
        <v>0</v>
      </c>
      <c r="I400" s="264"/>
      <c r="J400" s="264"/>
      <c r="K400" s="264"/>
      <c r="L400" s="227"/>
      <c r="M400" s="227"/>
      <c r="N400" s="227"/>
      <c r="O400" s="227"/>
      <c r="P400" s="227"/>
    </row>
    <row r="401" spans="1:16" s="263" customFormat="1" ht="28.5" customHeight="1">
      <c r="A401" s="258" t="s">
        <v>203</v>
      </c>
      <c r="B401" s="259">
        <f t="shared" si="8"/>
        <v>9683</v>
      </c>
      <c r="C401" s="307">
        <f>C139+C170+C189+C212+C233+C251+C270+C292+C312+C336+C41</f>
        <v>9683</v>
      </c>
      <c r="D401" s="308">
        <f>D139+D170+D189+D212+D233+D251+D270+D292+D312+D336</f>
        <v>0</v>
      </c>
      <c r="E401" s="308">
        <f>E139+E170+E189+E212+E233+E251+E270+E292+E312+E336</f>
        <v>0</v>
      </c>
      <c r="F401" s="565">
        <f>F139+F170+F189+F212+F233+F251+F270+F292+F312+F336</f>
        <v>0</v>
      </c>
      <c r="G401" s="261">
        <f>'1.1. ПРОФ.МЕРОПРИЯТИЯ'!I23</f>
        <v>9683</v>
      </c>
      <c r="H401" s="264">
        <f t="shared" si="10"/>
        <v>0</v>
      </c>
      <c r="I401" s="264"/>
      <c r="J401" s="264"/>
      <c r="K401" s="264"/>
      <c r="L401" s="227"/>
      <c r="M401" s="227"/>
      <c r="N401" s="227"/>
      <c r="O401" s="227"/>
      <c r="P401" s="227"/>
    </row>
    <row r="402" spans="1:16" s="260" customFormat="1" ht="30">
      <c r="A402" s="258" t="s">
        <v>145</v>
      </c>
      <c r="B402" s="259">
        <f t="shared" si="8"/>
        <v>250</v>
      </c>
      <c r="C402" s="307">
        <f>C93+C192+C215+C255+C273+C295+C315+C339+C236+C29+C127</f>
        <v>250</v>
      </c>
      <c r="D402" s="308">
        <f aca="true" t="shared" si="11" ref="D402:F404">D93+D192+D215+D255+D273+D295+D315+D339+D236</f>
        <v>0</v>
      </c>
      <c r="E402" s="308">
        <f t="shared" si="11"/>
        <v>0</v>
      </c>
      <c r="F402" s="565">
        <f t="shared" si="11"/>
        <v>0</v>
      </c>
      <c r="G402" s="261">
        <f>'1.1. ПРОФ.МЕРОПРИЯТИЯ'!C23</f>
        <v>250</v>
      </c>
      <c r="H402" s="264">
        <f t="shared" si="10"/>
        <v>0</v>
      </c>
      <c r="I402" s="261"/>
      <c r="J402" s="261"/>
      <c r="K402" s="261"/>
      <c r="L402" s="227"/>
      <c r="M402" s="227"/>
      <c r="N402" s="227"/>
      <c r="O402" s="227"/>
      <c r="P402" s="227"/>
    </row>
    <row r="403" spans="1:16" s="260" customFormat="1" ht="28.5" customHeight="1">
      <c r="A403" s="258" t="s">
        <v>146</v>
      </c>
      <c r="B403" s="259">
        <f t="shared" si="8"/>
        <v>284</v>
      </c>
      <c r="C403" s="307">
        <f>C94+C193+C216+C256+C274+C296+C316+C340+C237+C30+C128</f>
        <v>284</v>
      </c>
      <c r="D403" s="308">
        <f t="shared" si="11"/>
        <v>0</v>
      </c>
      <c r="E403" s="308">
        <f t="shared" si="11"/>
        <v>0</v>
      </c>
      <c r="F403" s="565">
        <f t="shared" si="11"/>
        <v>0</v>
      </c>
      <c r="G403" s="261">
        <f>'1.1. ПРОФ.МЕРОПРИЯТИЯ'!D23</f>
        <v>284</v>
      </c>
      <c r="H403" s="264">
        <f t="shared" si="10"/>
        <v>0</v>
      </c>
      <c r="I403" s="261"/>
      <c r="J403" s="261"/>
      <c r="K403" s="261"/>
      <c r="L403" s="227"/>
      <c r="M403" s="227"/>
      <c r="N403" s="227"/>
      <c r="O403" s="227"/>
      <c r="P403" s="227"/>
    </row>
    <row r="404" spans="1:16" s="260" customFormat="1" ht="30">
      <c r="A404" s="258" t="s">
        <v>147</v>
      </c>
      <c r="B404" s="259">
        <f t="shared" si="8"/>
        <v>26039</v>
      </c>
      <c r="C404" s="307">
        <f>C95+C194+C217+C257+C275+C297+C317+C341+C238+C31+C129</f>
        <v>26039</v>
      </c>
      <c r="D404" s="308">
        <f t="shared" si="11"/>
        <v>0</v>
      </c>
      <c r="E404" s="308">
        <f t="shared" si="11"/>
        <v>0</v>
      </c>
      <c r="F404" s="565">
        <f t="shared" si="11"/>
        <v>0</v>
      </c>
      <c r="G404" s="261">
        <f>'1.1. ПРОФ.МЕРОПРИЯТИЯ'!H23</f>
        <v>26039</v>
      </c>
      <c r="H404" s="264">
        <f t="shared" si="10"/>
        <v>0</v>
      </c>
      <c r="I404" s="261"/>
      <c r="J404" s="261"/>
      <c r="K404" s="261"/>
      <c r="L404" s="227"/>
      <c r="M404" s="227"/>
      <c r="N404" s="227"/>
      <c r="O404" s="227"/>
      <c r="P404" s="227"/>
    </row>
    <row r="405" spans="1:6" s="253" customFormat="1" ht="23.25" customHeight="1">
      <c r="A405" s="788" t="s">
        <v>496</v>
      </c>
      <c r="B405" s="789">
        <f>ROUND(C405+D405+E405*2.9,0)</f>
        <v>3105</v>
      </c>
      <c r="C405" s="353">
        <f>C181+C100+C134</f>
        <v>2355</v>
      </c>
      <c r="D405" s="353">
        <f>D181+D100+D134</f>
        <v>300</v>
      </c>
      <c r="E405" s="353">
        <f>E181+E100+E134</f>
        <v>155</v>
      </c>
      <c r="F405" s="560">
        <f>F181+F100+F134</f>
        <v>0</v>
      </c>
    </row>
    <row r="406" spans="1:6" s="253" customFormat="1" ht="30.75" customHeight="1" thickBot="1">
      <c r="A406" s="610" t="s">
        <v>523</v>
      </c>
      <c r="B406" s="611">
        <f>B176+B116</f>
        <v>550</v>
      </c>
      <c r="C406" s="786">
        <f>C176+C116</f>
        <v>80</v>
      </c>
      <c r="D406" s="786">
        <v>0</v>
      </c>
      <c r="E406" s="786">
        <v>0</v>
      </c>
      <c r="F406" s="787">
        <v>0</v>
      </c>
    </row>
    <row r="407" spans="2:16" s="253" customFormat="1" ht="15.75" thickBot="1">
      <c r="B407" s="257"/>
      <c r="C407" s="333"/>
      <c r="D407" s="333"/>
      <c r="E407" s="333"/>
      <c r="F407" s="257"/>
      <c r="H407" s="688"/>
      <c r="I407" s="688"/>
      <c r="J407" s="688"/>
      <c r="K407" s="253" t="s">
        <v>473</v>
      </c>
      <c r="N407" s="688" t="s">
        <v>472</v>
      </c>
      <c r="O407" s="688"/>
      <c r="P407" s="688"/>
    </row>
    <row r="408" spans="1:16" s="253" customFormat="1" ht="15" customHeight="1" thickBot="1">
      <c r="A408" s="678" t="s">
        <v>4</v>
      </c>
      <c r="B408" s="683" t="s">
        <v>107</v>
      </c>
      <c r="C408" s="685" t="s">
        <v>476</v>
      </c>
      <c r="D408" s="686"/>
      <c r="E408" s="686"/>
      <c r="F408" s="687"/>
      <c r="G408" s="707" t="s">
        <v>107</v>
      </c>
      <c r="H408" s="690" t="s">
        <v>475</v>
      </c>
      <c r="I408" s="690"/>
      <c r="J408" s="691"/>
      <c r="M408" s="698" t="s">
        <v>107</v>
      </c>
      <c r="N408" s="689" t="s">
        <v>474</v>
      </c>
      <c r="O408" s="690"/>
      <c r="P408" s="691"/>
    </row>
    <row r="409" spans="1:16" s="253" customFormat="1" ht="15" customHeight="1">
      <c r="A409" s="679"/>
      <c r="B409" s="658"/>
      <c r="C409" s="702" t="s">
        <v>196</v>
      </c>
      <c r="D409" s="704" t="s">
        <v>44</v>
      </c>
      <c r="E409" s="705" t="s">
        <v>45</v>
      </c>
      <c r="F409" s="708" t="s">
        <v>489</v>
      </c>
      <c r="G409" s="658"/>
      <c r="H409" s="706" t="s">
        <v>196</v>
      </c>
      <c r="I409" s="694" t="s">
        <v>44</v>
      </c>
      <c r="J409" s="696" t="s">
        <v>45</v>
      </c>
      <c r="M409" s="658"/>
      <c r="N409" s="692" t="s">
        <v>196</v>
      </c>
      <c r="O409" s="694" t="s">
        <v>44</v>
      </c>
      <c r="P409" s="696" t="s">
        <v>45</v>
      </c>
    </row>
    <row r="410" spans="1:16" s="253" customFormat="1" ht="35.25" customHeight="1" thickBot="1">
      <c r="A410" s="680"/>
      <c r="B410" s="684"/>
      <c r="C410" s="703"/>
      <c r="D410" s="695"/>
      <c r="E410" s="697"/>
      <c r="F410" s="709"/>
      <c r="G410" s="684"/>
      <c r="H410" s="703"/>
      <c r="I410" s="695"/>
      <c r="J410" s="697"/>
      <c r="M410" s="684"/>
      <c r="N410" s="693"/>
      <c r="O410" s="695"/>
      <c r="P410" s="697"/>
    </row>
    <row r="411" spans="1:26" s="253" customFormat="1" ht="15.75">
      <c r="A411" s="496" t="s">
        <v>443</v>
      </c>
      <c r="B411" s="500">
        <f>B14+B52+B102+B103+B148+B370</f>
        <v>65859</v>
      </c>
      <c r="C411" s="500">
        <f>C14+C52+C102+C103+C148+C370</f>
        <v>23739</v>
      </c>
      <c r="D411" s="500">
        <f>D14+D52+D102+D103+D148+D370</f>
        <v>2254</v>
      </c>
      <c r="E411" s="500">
        <f>E14+E52+E102+E103+E148+E370</f>
        <v>13021</v>
      </c>
      <c r="F411" s="500">
        <f>F14+F52+F102+F103+F148+F370</f>
        <v>2106</v>
      </c>
      <c r="G411" s="253">
        <f>ROUND(H411+I411+J411*2.9,0)</f>
        <v>1311</v>
      </c>
      <c r="H411" s="253">
        <f>366+25</f>
        <v>391</v>
      </c>
      <c r="I411" s="253">
        <v>50</v>
      </c>
      <c r="J411" s="253">
        <v>300</v>
      </c>
      <c r="K411" s="509">
        <f>SUM(H411:J411)</f>
        <v>741</v>
      </c>
      <c r="M411" s="510">
        <f>B411+G411</f>
        <v>67170</v>
      </c>
      <c r="N411" s="510">
        <f>C411+H411</f>
        <v>24130</v>
      </c>
      <c r="O411" s="510">
        <f>D411+I411</f>
        <v>2304</v>
      </c>
      <c r="P411" s="510">
        <f>E411+J411</f>
        <v>13321</v>
      </c>
      <c r="T411" s="257">
        <f>P411+F411</f>
        <v>15427</v>
      </c>
      <c r="W411" s="510"/>
      <c r="X411" s="257"/>
      <c r="Y411" s="257"/>
      <c r="Z411" s="257"/>
    </row>
    <row r="412" spans="1:26" s="253" customFormat="1" ht="15.75">
      <c r="A412" s="496" t="s">
        <v>444</v>
      </c>
      <c r="B412" s="500">
        <f>B73+B149+B107</f>
        <v>2677</v>
      </c>
      <c r="C412" s="500">
        <f>C73+C149+C107</f>
        <v>1033</v>
      </c>
      <c r="D412" s="500">
        <f>D73+D149+D107</f>
        <v>69</v>
      </c>
      <c r="E412" s="500">
        <f>E73+E149+E107</f>
        <v>543</v>
      </c>
      <c r="F412" s="500">
        <f>F73+F149+F107</f>
        <v>0</v>
      </c>
      <c r="G412" s="253">
        <f aca="true" t="shared" si="12" ref="G412:G439">ROUND(H412+I412+J412*2.9,0)</f>
        <v>37</v>
      </c>
      <c r="H412" s="253">
        <v>20</v>
      </c>
      <c r="I412" s="253">
        <v>0</v>
      </c>
      <c r="J412" s="253">
        <v>6</v>
      </c>
      <c r="K412" s="509">
        <f aca="true" t="shared" si="13" ref="K412:K439">SUM(H412:J412)</f>
        <v>26</v>
      </c>
      <c r="M412" s="510">
        <f aca="true" t="shared" si="14" ref="M412:M439">B412+G412</f>
        <v>2714</v>
      </c>
      <c r="N412" s="510">
        <f aca="true" t="shared" si="15" ref="N412:N440">C412+H412</f>
        <v>1053</v>
      </c>
      <c r="O412" s="510">
        <f aca="true" t="shared" si="16" ref="O412:O440">D412+I412</f>
        <v>69</v>
      </c>
      <c r="P412" s="510">
        <f aca="true" t="shared" si="17" ref="P412:P440">E412+J412</f>
        <v>549</v>
      </c>
      <c r="T412" s="257">
        <f aca="true" t="shared" si="18" ref="T412:T439">P412+F412</f>
        <v>549</v>
      </c>
      <c r="W412" s="510"/>
      <c r="X412" s="257"/>
      <c r="Y412" s="257"/>
      <c r="Z412" s="257"/>
    </row>
    <row r="413" spans="1:26" s="253" customFormat="1" ht="15.75">
      <c r="A413" s="496" t="s">
        <v>46</v>
      </c>
      <c r="B413" s="500">
        <f>B15+B150</f>
        <v>17271</v>
      </c>
      <c r="C413" s="500">
        <f>C15+C150</f>
        <v>4188</v>
      </c>
      <c r="D413" s="500">
        <f>D15+D150</f>
        <v>851</v>
      </c>
      <c r="E413" s="500">
        <f>E15+E150</f>
        <v>4218</v>
      </c>
      <c r="F413" s="500">
        <f>F15+F150</f>
        <v>0</v>
      </c>
      <c r="G413" s="253">
        <f t="shared" si="12"/>
        <v>0</v>
      </c>
      <c r="H413" s="253">
        <v>0</v>
      </c>
      <c r="I413" s="253">
        <v>0</v>
      </c>
      <c r="J413" s="253">
        <v>0</v>
      </c>
      <c r="K413" s="509">
        <f t="shared" si="13"/>
        <v>0</v>
      </c>
      <c r="M413" s="510">
        <f t="shared" si="14"/>
        <v>17271</v>
      </c>
      <c r="N413" s="510">
        <f t="shared" si="15"/>
        <v>4188</v>
      </c>
      <c r="O413" s="510">
        <f t="shared" si="16"/>
        <v>851</v>
      </c>
      <c r="P413" s="510">
        <f t="shared" si="17"/>
        <v>4218</v>
      </c>
      <c r="T413" s="257">
        <f t="shared" si="18"/>
        <v>4218</v>
      </c>
      <c r="W413" s="510"/>
      <c r="X413" s="257"/>
      <c r="Y413" s="257"/>
      <c r="Z413" s="257"/>
    </row>
    <row r="414" spans="1:26" s="253" customFormat="1" ht="15.75">
      <c r="A414" s="496" t="s">
        <v>445</v>
      </c>
      <c r="B414" s="500">
        <f>B16+B74+B151+B108</f>
        <v>8531</v>
      </c>
      <c r="C414" s="500">
        <f>C16+C74+C151+C108</f>
        <v>2480</v>
      </c>
      <c r="D414" s="500">
        <f>D16+D74+D151+D108</f>
        <v>341</v>
      </c>
      <c r="E414" s="500">
        <f>E16+E74+E151+E108</f>
        <v>1969</v>
      </c>
      <c r="F414" s="500">
        <f>F16+F74+F151+F108</f>
        <v>0</v>
      </c>
      <c r="G414" s="253">
        <f t="shared" si="12"/>
        <v>190</v>
      </c>
      <c r="H414" s="253">
        <v>17</v>
      </c>
      <c r="I414" s="253">
        <v>5</v>
      </c>
      <c r="J414" s="253">
        <v>58</v>
      </c>
      <c r="K414" s="509">
        <f>SUM(H414:J414)</f>
        <v>80</v>
      </c>
      <c r="M414" s="510">
        <f t="shared" si="14"/>
        <v>8721</v>
      </c>
      <c r="N414" s="510">
        <f t="shared" si="15"/>
        <v>2497</v>
      </c>
      <c r="O414" s="510">
        <f t="shared" si="16"/>
        <v>346</v>
      </c>
      <c r="P414" s="510">
        <f t="shared" si="17"/>
        <v>2027</v>
      </c>
      <c r="T414" s="257">
        <f t="shared" si="18"/>
        <v>2027</v>
      </c>
      <c r="W414" s="503"/>
      <c r="X414" s="257"/>
      <c r="Y414" s="257"/>
      <c r="Z414" s="257"/>
    </row>
    <row r="415" spans="1:26" s="253" customFormat="1" ht="15.75">
      <c r="A415" s="497" t="s">
        <v>446</v>
      </c>
      <c r="B415" s="500">
        <f>B17</f>
        <v>989</v>
      </c>
      <c r="C415" s="500">
        <f>C17</f>
        <v>600</v>
      </c>
      <c r="D415" s="500">
        <f>D17</f>
        <v>0</v>
      </c>
      <c r="E415" s="500">
        <f>E17</f>
        <v>134</v>
      </c>
      <c r="F415" s="500">
        <f>F17</f>
        <v>0</v>
      </c>
      <c r="G415" s="253">
        <f t="shared" si="12"/>
        <v>72</v>
      </c>
      <c r="H415" s="253">
        <v>14</v>
      </c>
      <c r="J415" s="253">
        <v>20</v>
      </c>
      <c r="K415" s="509">
        <f t="shared" si="13"/>
        <v>34</v>
      </c>
      <c r="M415" s="510">
        <f t="shared" si="14"/>
        <v>1061</v>
      </c>
      <c r="N415" s="510">
        <f t="shared" si="15"/>
        <v>614</v>
      </c>
      <c r="O415" s="510">
        <f t="shared" si="16"/>
        <v>0</v>
      </c>
      <c r="P415" s="510">
        <f t="shared" si="17"/>
        <v>154</v>
      </c>
      <c r="T415" s="257">
        <f t="shared" si="18"/>
        <v>154</v>
      </c>
      <c r="W415" s="503"/>
      <c r="X415" s="257"/>
      <c r="Y415" s="257"/>
      <c r="Z415" s="257"/>
    </row>
    <row r="416" spans="1:26" s="253" customFormat="1" ht="15.75">
      <c r="A416" s="497" t="s">
        <v>447</v>
      </c>
      <c r="B416" s="500">
        <f>B152</f>
        <v>2438</v>
      </c>
      <c r="C416" s="500">
        <f>C152</f>
        <v>631</v>
      </c>
      <c r="D416" s="500">
        <f>D152</f>
        <v>171</v>
      </c>
      <c r="E416" s="500">
        <f>E152</f>
        <v>564</v>
      </c>
      <c r="F416" s="500">
        <f>F152</f>
        <v>0</v>
      </c>
      <c r="G416" s="253">
        <f t="shared" si="12"/>
        <v>12</v>
      </c>
      <c r="H416" s="253">
        <v>0</v>
      </c>
      <c r="I416" s="253">
        <v>0</v>
      </c>
      <c r="J416" s="253">
        <v>4</v>
      </c>
      <c r="K416" s="509">
        <f t="shared" si="13"/>
        <v>4</v>
      </c>
      <c r="M416" s="510">
        <f t="shared" si="14"/>
        <v>2450</v>
      </c>
      <c r="N416" s="510">
        <f t="shared" si="15"/>
        <v>631</v>
      </c>
      <c r="O416" s="510">
        <f t="shared" si="16"/>
        <v>171</v>
      </c>
      <c r="P416" s="510">
        <f t="shared" si="17"/>
        <v>568</v>
      </c>
      <c r="T416" s="257">
        <f t="shared" si="18"/>
        <v>568</v>
      </c>
      <c r="W416" s="510"/>
      <c r="X416" s="257"/>
      <c r="Y416" s="257"/>
      <c r="Z416" s="257"/>
    </row>
    <row r="417" spans="1:26" s="253" customFormat="1" ht="15.75">
      <c r="A417" s="496" t="s">
        <v>448</v>
      </c>
      <c r="B417" s="500">
        <f>B18+B50+B153</f>
        <v>34251</v>
      </c>
      <c r="C417" s="500">
        <f>C18+C50+C153</f>
        <v>8781</v>
      </c>
      <c r="D417" s="500">
        <f>D18+D50+D153</f>
        <v>573</v>
      </c>
      <c r="E417" s="500">
        <f>E18+E50+E153</f>
        <v>8245</v>
      </c>
      <c r="F417" s="500">
        <f>F18+F50+F153</f>
        <v>986</v>
      </c>
      <c r="G417" s="253">
        <f t="shared" si="12"/>
        <v>508</v>
      </c>
      <c r="H417" s="253">
        <v>218</v>
      </c>
      <c r="I417" s="253">
        <v>0</v>
      </c>
      <c r="J417" s="253">
        <v>100</v>
      </c>
      <c r="K417" s="509">
        <f t="shared" si="13"/>
        <v>318</v>
      </c>
      <c r="M417" s="510">
        <f t="shared" si="14"/>
        <v>34759</v>
      </c>
      <c r="N417" s="510">
        <f t="shared" si="15"/>
        <v>8999</v>
      </c>
      <c r="O417" s="510">
        <f t="shared" si="16"/>
        <v>573</v>
      </c>
      <c r="P417" s="510">
        <f t="shared" si="17"/>
        <v>8345</v>
      </c>
      <c r="T417" s="257">
        <f t="shared" si="18"/>
        <v>9331</v>
      </c>
      <c r="W417" s="510"/>
      <c r="X417" s="257"/>
      <c r="Y417" s="257"/>
      <c r="Z417" s="257"/>
    </row>
    <row r="418" spans="1:26" s="253" customFormat="1" ht="15.75">
      <c r="A418" s="498" t="s">
        <v>449</v>
      </c>
      <c r="B418" s="500">
        <f>B19+B84+B154+B118</f>
        <v>13169</v>
      </c>
      <c r="C418" s="500">
        <f>C19+C84+C154+C118</f>
        <v>3445</v>
      </c>
      <c r="D418" s="500">
        <f>D19+D84+D154+D118</f>
        <v>1249</v>
      </c>
      <c r="E418" s="500">
        <f>E19+E84+E154+E118</f>
        <v>2692</v>
      </c>
      <c r="F418" s="500">
        <f>F19+F84+F154+F118</f>
        <v>669</v>
      </c>
      <c r="G418" s="253">
        <f t="shared" si="12"/>
        <v>293</v>
      </c>
      <c r="H418" s="253">
        <v>100</v>
      </c>
      <c r="I418" s="253">
        <v>10</v>
      </c>
      <c r="J418" s="253">
        <v>63</v>
      </c>
      <c r="K418" s="509">
        <f t="shared" si="13"/>
        <v>173</v>
      </c>
      <c r="M418" s="510">
        <f t="shared" si="14"/>
        <v>13462</v>
      </c>
      <c r="N418" s="510">
        <f t="shared" si="15"/>
        <v>3545</v>
      </c>
      <c r="O418" s="510">
        <f t="shared" si="16"/>
        <v>1259</v>
      </c>
      <c r="P418" s="510">
        <f t="shared" si="17"/>
        <v>2755</v>
      </c>
      <c r="T418" s="257">
        <f t="shared" si="18"/>
        <v>3424</v>
      </c>
      <c r="W418" s="510"/>
      <c r="X418" s="257"/>
      <c r="Y418" s="257"/>
      <c r="Z418" s="257"/>
    </row>
    <row r="419" spans="1:26" s="253" customFormat="1" ht="15.75">
      <c r="A419" s="496" t="s">
        <v>450</v>
      </c>
      <c r="B419" s="500">
        <f>B20+B75+B156+B109</f>
        <v>14714</v>
      </c>
      <c r="C419" s="500">
        <f>C20+C75+C156+C109</f>
        <v>3260</v>
      </c>
      <c r="D419" s="500">
        <f>D20+D75+D156+D109</f>
        <v>837</v>
      </c>
      <c r="E419" s="500">
        <f>E20+E75+E156+E109</f>
        <v>3528</v>
      </c>
      <c r="F419" s="500">
        <f>F20+F75+F156+F109</f>
        <v>387</v>
      </c>
      <c r="G419" s="253">
        <f t="shared" si="12"/>
        <v>371</v>
      </c>
      <c r="H419" s="253">
        <v>180</v>
      </c>
      <c r="I419" s="253">
        <v>20</v>
      </c>
      <c r="J419" s="253">
        <v>59</v>
      </c>
      <c r="K419" s="509">
        <f t="shared" si="13"/>
        <v>259</v>
      </c>
      <c r="M419" s="510">
        <f t="shared" si="14"/>
        <v>15085</v>
      </c>
      <c r="N419" s="510">
        <f t="shared" si="15"/>
        <v>3440</v>
      </c>
      <c r="O419" s="510">
        <f t="shared" si="16"/>
        <v>857</v>
      </c>
      <c r="P419" s="510">
        <f t="shared" si="17"/>
        <v>3587</v>
      </c>
      <c r="T419" s="257">
        <f t="shared" si="18"/>
        <v>3974</v>
      </c>
      <c r="W419" s="510"/>
      <c r="X419" s="257"/>
      <c r="Y419" s="257"/>
      <c r="Z419" s="257"/>
    </row>
    <row r="420" spans="1:26" s="253" customFormat="1" ht="15.75">
      <c r="A420" s="497" t="s">
        <v>451</v>
      </c>
      <c r="B420" s="500">
        <f>B374</f>
        <v>10</v>
      </c>
      <c r="C420" s="500">
        <f>C374</f>
        <v>1</v>
      </c>
      <c r="D420" s="500">
        <f>D374</f>
        <v>0</v>
      </c>
      <c r="E420" s="500">
        <f>E374</f>
        <v>3</v>
      </c>
      <c r="F420" s="500">
        <f>F374</f>
        <v>0</v>
      </c>
      <c r="G420" s="253">
        <f t="shared" si="12"/>
        <v>23</v>
      </c>
      <c r="H420" s="253">
        <v>11</v>
      </c>
      <c r="I420" s="253">
        <v>0</v>
      </c>
      <c r="J420" s="253">
        <v>4</v>
      </c>
      <c r="K420" s="509">
        <f t="shared" si="13"/>
        <v>15</v>
      </c>
      <c r="M420" s="510">
        <f t="shared" si="14"/>
        <v>33</v>
      </c>
      <c r="N420" s="510">
        <f t="shared" si="15"/>
        <v>12</v>
      </c>
      <c r="O420" s="510">
        <f t="shared" si="16"/>
        <v>0</v>
      </c>
      <c r="P420" s="510">
        <f t="shared" si="17"/>
        <v>7</v>
      </c>
      <c r="T420" s="257">
        <f t="shared" si="18"/>
        <v>7</v>
      </c>
      <c r="W420" s="503"/>
      <c r="X420" s="257"/>
      <c r="Y420" s="257"/>
      <c r="Z420" s="257"/>
    </row>
    <row r="421" spans="1:26" s="253" customFormat="1" ht="15.75">
      <c r="A421" s="497" t="s">
        <v>469</v>
      </c>
      <c r="B421" s="500">
        <f>B386+B155</f>
        <v>1151</v>
      </c>
      <c r="C421" s="500">
        <f>C386+C155</f>
        <v>0</v>
      </c>
      <c r="D421" s="500">
        <f>D386+D155</f>
        <v>0</v>
      </c>
      <c r="E421" s="500">
        <f>E386+E155</f>
        <v>397</v>
      </c>
      <c r="F421" s="500">
        <f>F386+F155</f>
        <v>0</v>
      </c>
      <c r="G421" s="253">
        <f t="shared" si="12"/>
        <v>0</v>
      </c>
      <c r="H421" s="253">
        <v>0</v>
      </c>
      <c r="I421" s="253">
        <v>0</v>
      </c>
      <c r="J421" s="253">
        <v>0</v>
      </c>
      <c r="K421" s="509">
        <f t="shared" si="13"/>
        <v>0</v>
      </c>
      <c r="M421" s="510">
        <f t="shared" si="14"/>
        <v>1151</v>
      </c>
      <c r="N421" s="510">
        <f t="shared" si="15"/>
        <v>0</v>
      </c>
      <c r="O421" s="510">
        <f t="shared" si="16"/>
        <v>0</v>
      </c>
      <c r="P421" s="510">
        <f t="shared" si="17"/>
        <v>397</v>
      </c>
      <c r="T421" s="257">
        <f t="shared" si="18"/>
        <v>397</v>
      </c>
      <c r="W421" s="510"/>
      <c r="X421" s="257"/>
      <c r="Y421" s="257"/>
      <c r="Z421" s="257"/>
    </row>
    <row r="422" spans="1:26" s="253" customFormat="1" ht="15.75">
      <c r="A422" s="496" t="s">
        <v>452</v>
      </c>
      <c r="B422" s="500">
        <f>B21+B85+B157+B119</f>
        <v>42002</v>
      </c>
      <c r="C422" s="500">
        <f>C21+C85+C157+C119</f>
        <v>10712</v>
      </c>
      <c r="D422" s="500">
        <f>D21+D85+D157+D119</f>
        <v>1822</v>
      </c>
      <c r="E422" s="500">
        <f>E21+E85+E157+E119</f>
        <v>9275</v>
      </c>
      <c r="F422" s="500">
        <f>F21+F85+F157+F119</f>
        <v>2570</v>
      </c>
      <c r="G422" s="253">
        <f t="shared" si="12"/>
        <v>509</v>
      </c>
      <c r="H422" s="253">
        <v>350</v>
      </c>
      <c r="I422" s="253">
        <v>14</v>
      </c>
      <c r="J422" s="253">
        <v>50</v>
      </c>
      <c r="K422" s="509">
        <f t="shared" si="13"/>
        <v>414</v>
      </c>
      <c r="M422" s="510">
        <f t="shared" si="14"/>
        <v>42511</v>
      </c>
      <c r="N422" s="510">
        <f t="shared" si="15"/>
        <v>11062</v>
      </c>
      <c r="O422" s="510">
        <f t="shared" si="16"/>
        <v>1836</v>
      </c>
      <c r="P422" s="510">
        <f t="shared" si="17"/>
        <v>9325</v>
      </c>
      <c r="T422" s="257">
        <f t="shared" si="18"/>
        <v>11895</v>
      </c>
      <c r="W422" s="510"/>
      <c r="X422" s="257"/>
      <c r="Y422" s="257"/>
      <c r="Z422" s="257"/>
    </row>
    <row r="423" spans="1:26" s="253" customFormat="1" ht="15.75">
      <c r="A423" s="497" t="s">
        <v>453</v>
      </c>
      <c r="B423" s="499">
        <f>B22</f>
        <v>2813</v>
      </c>
      <c r="C423" s="499">
        <f>C22</f>
        <v>683</v>
      </c>
      <c r="D423" s="499">
        <f>D22</f>
        <v>375</v>
      </c>
      <c r="E423" s="499">
        <f>E22</f>
        <v>605</v>
      </c>
      <c r="F423" s="499">
        <f>F22</f>
        <v>0</v>
      </c>
      <c r="G423" s="253">
        <f t="shared" si="12"/>
        <v>128</v>
      </c>
      <c r="H423" s="253">
        <v>7</v>
      </c>
      <c r="I423" s="253">
        <v>5</v>
      </c>
      <c r="J423" s="253">
        <v>40</v>
      </c>
      <c r="K423" s="509">
        <f t="shared" si="13"/>
        <v>52</v>
      </c>
      <c r="M423" s="510">
        <f t="shared" si="14"/>
        <v>2941</v>
      </c>
      <c r="N423" s="510">
        <f t="shared" si="15"/>
        <v>690</v>
      </c>
      <c r="O423" s="510">
        <f t="shared" si="16"/>
        <v>380</v>
      </c>
      <c r="P423" s="510">
        <f t="shared" si="17"/>
        <v>645</v>
      </c>
      <c r="T423" s="257">
        <f t="shared" si="18"/>
        <v>645</v>
      </c>
      <c r="W423" s="503"/>
      <c r="X423" s="257"/>
      <c r="Y423" s="257"/>
      <c r="Z423" s="257"/>
    </row>
    <row r="424" spans="1:26" s="253" customFormat="1" ht="15.75">
      <c r="A424" s="496" t="s">
        <v>454</v>
      </c>
      <c r="B424" s="500">
        <f>B23+B86+B120</f>
        <v>929</v>
      </c>
      <c r="C424" s="500">
        <f>C23+C86+C120</f>
        <v>430</v>
      </c>
      <c r="D424" s="500">
        <f>D23+D86+D120</f>
        <v>0</v>
      </c>
      <c r="E424" s="500">
        <f>E23+E86+E120</f>
        <v>172</v>
      </c>
      <c r="F424" s="500">
        <f>F23+F86+F120</f>
        <v>0</v>
      </c>
      <c r="G424" s="253">
        <f t="shared" si="12"/>
        <v>80</v>
      </c>
      <c r="H424" s="253">
        <v>15</v>
      </c>
      <c r="I424" s="253">
        <v>7</v>
      </c>
      <c r="J424" s="253">
        <v>20</v>
      </c>
      <c r="K424" s="509">
        <f t="shared" si="13"/>
        <v>42</v>
      </c>
      <c r="M424" s="510">
        <f t="shared" si="14"/>
        <v>1009</v>
      </c>
      <c r="N424" s="510">
        <f t="shared" si="15"/>
        <v>445</v>
      </c>
      <c r="O424" s="510">
        <f t="shared" si="16"/>
        <v>7</v>
      </c>
      <c r="P424" s="510">
        <f t="shared" si="17"/>
        <v>192</v>
      </c>
      <c r="T424" s="257">
        <f t="shared" si="18"/>
        <v>192</v>
      </c>
      <c r="W424" s="503"/>
      <c r="X424" s="257"/>
      <c r="Y424" s="257"/>
      <c r="Z424" s="257"/>
    </row>
    <row r="425" spans="1:26" s="253" customFormat="1" ht="15.75">
      <c r="A425" s="496" t="s">
        <v>455</v>
      </c>
      <c r="B425" s="500">
        <f>B24+B53+B76+B110</f>
        <v>26244</v>
      </c>
      <c r="C425" s="500">
        <f>C24+C53+C76+C110</f>
        <v>4223</v>
      </c>
      <c r="D425" s="500">
        <f>D24+D53+D76+D110</f>
        <v>187</v>
      </c>
      <c r="E425" s="500">
        <f>E24+E53+E76+E110</f>
        <v>6400</v>
      </c>
      <c r="F425" s="500">
        <f>F24+F53+F76+F110</f>
        <v>3274</v>
      </c>
      <c r="G425" s="253">
        <f t="shared" si="12"/>
        <v>906</v>
      </c>
      <c r="H425" s="253">
        <v>500</v>
      </c>
      <c r="J425" s="253">
        <v>140</v>
      </c>
      <c r="K425" s="509">
        <f t="shared" si="13"/>
        <v>640</v>
      </c>
      <c r="M425" s="510">
        <f t="shared" si="14"/>
        <v>27150</v>
      </c>
      <c r="N425" s="510">
        <f t="shared" si="15"/>
        <v>4723</v>
      </c>
      <c r="O425" s="510">
        <f t="shared" si="16"/>
        <v>187</v>
      </c>
      <c r="P425" s="510">
        <f t="shared" si="17"/>
        <v>6540</v>
      </c>
      <c r="T425" s="257">
        <f t="shared" si="18"/>
        <v>9814</v>
      </c>
      <c r="W425" s="510"/>
      <c r="X425" s="257"/>
      <c r="Y425" s="257"/>
      <c r="Z425" s="257"/>
    </row>
    <row r="426" spans="1:26" s="253" customFormat="1" ht="15.75">
      <c r="A426" s="496" t="s">
        <v>456</v>
      </c>
      <c r="B426" s="500">
        <f>B25+B87+B158+B375+B121</f>
        <v>30275</v>
      </c>
      <c r="C426" s="500">
        <f>C25+C87+C158+C375+C121+C392</f>
        <v>8944</v>
      </c>
      <c r="D426" s="500">
        <f>D25+D87+D158+D375+D121+D392</f>
        <v>1497</v>
      </c>
      <c r="E426" s="500">
        <f>E25+E87+E158+E375+E121+E392</f>
        <v>6766</v>
      </c>
      <c r="F426" s="500">
        <f>F25+F87+F158+F375+F121+F392</f>
        <v>563</v>
      </c>
      <c r="G426" s="253">
        <f t="shared" si="12"/>
        <v>602</v>
      </c>
      <c r="H426" s="253">
        <v>300</v>
      </c>
      <c r="I426" s="253">
        <v>50</v>
      </c>
      <c r="J426" s="253">
        <v>87</v>
      </c>
      <c r="K426" s="509">
        <f t="shared" si="13"/>
        <v>437</v>
      </c>
      <c r="M426" s="510">
        <f t="shared" si="14"/>
        <v>30877</v>
      </c>
      <c r="N426" s="510">
        <f t="shared" si="15"/>
        <v>9244</v>
      </c>
      <c r="O426" s="510">
        <f t="shared" si="16"/>
        <v>1547</v>
      </c>
      <c r="P426" s="510">
        <f t="shared" si="17"/>
        <v>6853</v>
      </c>
      <c r="T426" s="257">
        <f t="shared" si="18"/>
        <v>7416</v>
      </c>
      <c r="W426" s="510"/>
      <c r="X426" s="257"/>
      <c r="Y426" s="257"/>
      <c r="Z426" s="257"/>
    </row>
    <row r="427" spans="1:26" s="253" customFormat="1" ht="15.75">
      <c r="A427" s="496" t="s">
        <v>457</v>
      </c>
      <c r="B427" s="500">
        <f>B26+B89+B105+B159+B390+B123</f>
        <v>36787</v>
      </c>
      <c r="C427" s="500">
        <f>C26+C89+C105+C159+C390+C123+C393</f>
        <v>10571</v>
      </c>
      <c r="D427" s="500">
        <f>D26+D89+D105+D159+D390+D123+D393</f>
        <v>1648</v>
      </c>
      <c r="E427" s="500">
        <f>E26+E89+E105+E159+E390+E123+E393</f>
        <v>8328</v>
      </c>
      <c r="F427" s="500">
        <f>F26+F89+F105+F159+F390+F123+F393</f>
        <v>1267</v>
      </c>
      <c r="G427" s="253">
        <f t="shared" si="12"/>
        <v>741</v>
      </c>
      <c r="H427" s="253">
        <v>300</v>
      </c>
      <c r="I427" s="253">
        <v>70</v>
      </c>
      <c r="J427" s="253">
        <v>128</v>
      </c>
      <c r="K427" s="509">
        <f t="shared" si="13"/>
        <v>498</v>
      </c>
      <c r="M427" s="510">
        <f t="shared" si="14"/>
        <v>37528</v>
      </c>
      <c r="N427" s="510">
        <f t="shared" si="15"/>
        <v>10871</v>
      </c>
      <c r="O427" s="510">
        <f t="shared" si="16"/>
        <v>1718</v>
      </c>
      <c r="P427" s="510">
        <f t="shared" si="17"/>
        <v>8456</v>
      </c>
      <c r="T427" s="257">
        <f t="shared" si="18"/>
        <v>9723</v>
      </c>
      <c r="W427" s="510"/>
      <c r="X427" s="257"/>
      <c r="Y427" s="257"/>
      <c r="Z427" s="257"/>
    </row>
    <row r="428" spans="1:26" s="253" customFormat="1" ht="15.75">
      <c r="A428" s="496" t="s">
        <v>458</v>
      </c>
      <c r="B428" s="500">
        <f>B27+B91+B178+B125</f>
        <v>192633</v>
      </c>
      <c r="C428" s="500">
        <f>C27+C91+C178+C125</f>
        <v>73705</v>
      </c>
      <c r="D428" s="500">
        <f>D27+D91+D178+D125</f>
        <v>17468</v>
      </c>
      <c r="E428" s="500">
        <f>E27+E91+E178+E125</f>
        <v>34986</v>
      </c>
      <c r="F428" s="500">
        <f>F27+F91+F178+F125</f>
        <v>0</v>
      </c>
      <c r="G428" s="253">
        <f t="shared" si="12"/>
        <v>1696</v>
      </c>
      <c r="H428" s="253">
        <v>800</v>
      </c>
      <c r="I428" s="253">
        <v>200</v>
      </c>
      <c r="J428" s="253">
        <v>240</v>
      </c>
      <c r="K428" s="509">
        <f t="shared" si="13"/>
        <v>1240</v>
      </c>
      <c r="M428" s="510">
        <f t="shared" si="14"/>
        <v>194329</v>
      </c>
      <c r="N428" s="510">
        <f t="shared" si="15"/>
        <v>74505</v>
      </c>
      <c r="O428" s="510">
        <f t="shared" si="16"/>
        <v>17668</v>
      </c>
      <c r="P428" s="510">
        <f t="shared" si="17"/>
        <v>35226</v>
      </c>
      <c r="T428" s="257">
        <f t="shared" si="18"/>
        <v>35226</v>
      </c>
      <c r="W428" s="510"/>
      <c r="X428" s="257"/>
      <c r="Y428" s="257"/>
      <c r="Z428" s="257"/>
    </row>
    <row r="429" spans="1:26" s="253" customFormat="1" ht="15.75">
      <c r="A429" s="496" t="s">
        <v>459</v>
      </c>
      <c r="B429" s="500">
        <f>B32+B160</f>
        <v>2893</v>
      </c>
      <c r="C429" s="500">
        <f>C32+C160</f>
        <v>862</v>
      </c>
      <c r="D429" s="500">
        <f>D32+D160</f>
        <v>68</v>
      </c>
      <c r="E429" s="500">
        <f>E32+E160</f>
        <v>677</v>
      </c>
      <c r="F429" s="500">
        <f>F32+F160</f>
        <v>0</v>
      </c>
      <c r="G429" s="253">
        <f t="shared" si="12"/>
        <v>54</v>
      </c>
      <c r="H429" s="253">
        <v>8</v>
      </c>
      <c r="I429" s="253">
        <v>2</v>
      </c>
      <c r="J429" s="253">
        <v>15</v>
      </c>
      <c r="K429" s="509">
        <f t="shared" si="13"/>
        <v>25</v>
      </c>
      <c r="M429" s="510">
        <f t="shared" si="14"/>
        <v>2947</v>
      </c>
      <c r="N429" s="510">
        <f t="shared" si="15"/>
        <v>870</v>
      </c>
      <c r="O429" s="510">
        <f t="shared" si="16"/>
        <v>70</v>
      </c>
      <c r="P429" s="510">
        <f t="shared" si="17"/>
        <v>692</v>
      </c>
      <c r="T429" s="257">
        <f t="shared" si="18"/>
        <v>692</v>
      </c>
      <c r="W429" s="503"/>
      <c r="X429" s="257"/>
      <c r="Y429" s="257"/>
      <c r="Z429" s="257"/>
    </row>
    <row r="430" spans="1:26" s="253" customFormat="1" ht="15.75">
      <c r="A430" s="496" t="s">
        <v>460</v>
      </c>
      <c r="B430" s="500">
        <f>B33</f>
        <v>1120</v>
      </c>
      <c r="C430" s="500">
        <f>C33</f>
        <v>528</v>
      </c>
      <c r="D430" s="500">
        <f>D33</f>
        <v>0</v>
      </c>
      <c r="E430" s="500">
        <f>E33</f>
        <v>204</v>
      </c>
      <c r="F430" s="500">
        <f>F33</f>
        <v>0</v>
      </c>
      <c r="G430" s="253">
        <f t="shared" si="12"/>
        <v>93</v>
      </c>
      <c r="H430" s="253">
        <v>0</v>
      </c>
      <c r="I430" s="253">
        <v>0</v>
      </c>
      <c r="J430" s="253">
        <v>32</v>
      </c>
      <c r="K430" s="509">
        <f t="shared" si="13"/>
        <v>32</v>
      </c>
      <c r="M430" s="510">
        <f t="shared" si="14"/>
        <v>1213</v>
      </c>
      <c r="N430" s="510">
        <f t="shared" si="15"/>
        <v>528</v>
      </c>
      <c r="O430" s="510">
        <f t="shared" si="16"/>
        <v>0</v>
      </c>
      <c r="P430" s="510">
        <f t="shared" si="17"/>
        <v>236</v>
      </c>
      <c r="T430" s="257">
        <f t="shared" si="18"/>
        <v>236</v>
      </c>
      <c r="W430" s="510"/>
      <c r="X430" s="257"/>
      <c r="Y430" s="257"/>
      <c r="Z430" s="257"/>
    </row>
    <row r="431" spans="1:26" s="253" customFormat="1" ht="15.75">
      <c r="A431" s="497" t="s">
        <v>461</v>
      </c>
      <c r="B431" s="500">
        <f>B34</f>
        <v>1966</v>
      </c>
      <c r="C431" s="500">
        <f>C34</f>
        <v>545</v>
      </c>
      <c r="D431" s="500">
        <f>D34</f>
        <v>0</v>
      </c>
      <c r="E431" s="500">
        <f>E34</f>
        <v>490</v>
      </c>
      <c r="F431" s="500">
        <f>F34</f>
        <v>0</v>
      </c>
      <c r="G431" s="253">
        <f t="shared" si="12"/>
        <v>31</v>
      </c>
      <c r="H431" s="253">
        <v>8</v>
      </c>
      <c r="I431" s="253">
        <v>0</v>
      </c>
      <c r="J431" s="253">
        <v>8</v>
      </c>
      <c r="K431" s="509">
        <f t="shared" si="13"/>
        <v>16</v>
      </c>
      <c r="M431" s="510">
        <f t="shared" si="14"/>
        <v>1997</v>
      </c>
      <c r="N431" s="510">
        <f t="shared" si="15"/>
        <v>553</v>
      </c>
      <c r="O431" s="510">
        <f t="shared" si="16"/>
        <v>0</v>
      </c>
      <c r="P431" s="510">
        <f t="shared" si="17"/>
        <v>498</v>
      </c>
      <c r="T431" s="257">
        <f t="shared" si="18"/>
        <v>498</v>
      </c>
      <c r="W431" s="503"/>
      <c r="X431" s="257"/>
      <c r="Y431" s="257"/>
      <c r="Z431" s="257"/>
    </row>
    <row r="432" spans="1:26" s="253" customFormat="1" ht="15.75">
      <c r="A432" s="496" t="s">
        <v>35</v>
      </c>
      <c r="B432" s="500">
        <f>B35+B161+B357+B360+B364+B368+B376+B384+B380</f>
        <v>250684</v>
      </c>
      <c r="C432" s="500">
        <f>C35+C161+C357+C360+C364+C368+C376+C384+C380</f>
        <v>65085</v>
      </c>
      <c r="D432" s="500">
        <f>D35+D161+D357+D360+D364+D368+D376+D384+D380</f>
        <v>14427</v>
      </c>
      <c r="E432" s="500">
        <f>E35+E161+E357+E360+E364+E368+E376+E384+E380</f>
        <v>59025</v>
      </c>
      <c r="F432" s="500">
        <f>F35+F161+F357+F360+F364+F368+F376+F384+F380</f>
        <v>0</v>
      </c>
      <c r="G432" s="253">
        <f t="shared" si="12"/>
        <v>1156</v>
      </c>
      <c r="H432" s="253">
        <v>418</v>
      </c>
      <c r="I432" s="253">
        <v>500</v>
      </c>
      <c r="J432" s="253">
        <v>82</v>
      </c>
      <c r="K432" s="509">
        <f t="shared" si="13"/>
        <v>1000</v>
      </c>
      <c r="M432" s="510">
        <f t="shared" si="14"/>
        <v>251840</v>
      </c>
      <c r="N432" s="510">
        <f t="shared" si="15"/>
        <v>65503</v>
      </c>
      <c r="O432" s="510">
        <f t="shared" si="16"/>
        <v>14927</v>
      </c>
      <c r="P432" s="510">
        <f t="shared" si="17"/>
        <v>59107</v>
      </c>
      <c r="Q432" s="257">
        <f>N432+N438</f>
        <v>65728</v>
      </c>
      <c r="R432" s="257">
        <f>O432+O438</f>
        <v>14985</v>
      </c>
      <c r="S432" s="257">
        <f>P432+P438</f>
        <v>59310</v>
      </c>
      <c r="T432" s="257">
        <f t="shared" si="18"/>
        <v>59107</v>
      </c>
      <c r="W432" s="510"/>
      <c r="X432" s="257"/>
      <c r="Y432" s="257"/>
      <c r="Z432" s="257"/>
    </row>
    <row r="433" spans="1:26" s="253" customFormat="1" ht="15.75">
      <c r="A433" s="496" t="s">
        <v>470</v>
      </c>
      <c r="B433" s="500">
        <f>B36+B44+B98+B106+B165+B132+B45</f>
        <v>56670</v>
      </c>
      <c r="C433" s="500">
        <f>C36+C44+C98+C106+C165+C132+C45</f>
        <v>37574</v>
      </c>
      <c r="D433" s="500">
        <f>D36+D44+D98+D106+D165+D132+D45</f>
        <v>2195</v>
      </c>
      <c r="E433" s="500">
        <f>E36+E44+E98+E106+E165+E132+E45</f>
        <v>5828</v>
      </c>
      <c r="F433" s="500">
        <f>F36+F44+F98+F106+F165+F132+F45</f>
        <v>0</v>
      </c>
      <c r="G433" s="253">
        <f t="shared" si="12"/>
        <v>0</v>
      </c>
      <c r="K433" s="509">
        <f t="shared" si="13"/>
        <v>0</v>
      </c>
      <c r="M433" s="510">
        <f t="shared" si="14"/>
        <v>56670</v>
      </c>
      <c r="N433" s="510">
        <f t="shared" si="15"/>
        <v>37574</v>
      </c>
      <c r="O433" s="510">
        <f t="shared" si="16"/>
        <v>2195</v>
      </c>
      <c r="P433" s="510">
        <f t="shared" si="17"/>
        <v>5828</v>
      </c>
      <c r="T433" s="257">
        <f t="shared" si="18"/>
        <v>5828</v>
      </c>
      <c r="W433" s="503"/>
      <c r="X433" s="257"/>
      <c r="Y433" s="257"/>
      <c r="Z433" s="257"/>
    </row>
    <row r="434" spans="1:26" s="253" customFormat="1" ht="15.75">
      <c r="A434" s="496" t="s">
        <v>462</v>
      </c>
      <c r="B434" s="500">
        <f>B37+B54+B104+B166+B179</f>
        <v>220806</v>
      </c>
      <c r="C434" s="500">
        <f>C37+C54+C104+C166+C179</f>
        <v>64883</v>
      </c>
      <c r="D434" s="500">
        <f>D37+D54+D104+D166+D179</f>
        <v>12888</v>
      </c>
      <c r="E434" s="500">
        <f>E37+E54+E104+E166+E179</f>
        <v>42207</v>
      </c>
      <c r="F434" s="500">
        <f>F37+F54+F104+F166+F179</f>
        <v>20635</v>
      </c>
      <c r="G434" s="253">
        <f t="shared" si="12"/>
        <v>5983</v>
      </c>
      <c r="H434" s="253">
        <v>3011</v>
      </c>
      <c r="I434" s="253">
        <v>400</v>
      </c>
      <c r="J434" s="253">
        <v>887</v>
      </c>
      <c r="K434" s="509">
        <f>SUM(H434:J434)</f>
        <v>4298</v>
      </c>
      <c r="M434" s="510">
        <f t="shared" si="14"/>
        <v>226789</v>
      </c>
      <c r="N434" s="510">
        <f t="shared" si="15"/>
        <v>67894</v>
      </c>
      <c r="O434" s="510">
        <f t="shared" si="16"/>
        <v>13288</v>
      </c>
      <c r="P434" s="510">
        <f t="shared" si="17"/>
        <v>43094</v>
      </c>
      <c r="Q434" s="257">
        <f>N434+N413</f>
        <v>72082</v>
      </c>
      <c r="R434" s="257">
        <f>O434+O413</f>
        <v>14139</v>
      </c>
      <c r="S434" s="257">
        <f>P434+P413</f>
        <v>47312</v>
      </c>
      <c r="T434" s="257">
        <f t="shared" si="18"/>
        <v>63729</v>
      </c>
      <c r="W434" s="510"/>
      <c r="X434" s="257"/>
      <c r="Y434" s="257"/>
      <c r="Z434" s="257"/>
    </row>
    <row r="435" spans="1:26" s="253" customFormat="1" ht="15.75">
      <c r="A435" s="496" t="s">
        <v>463</v>
      </c>
      <c r="B435" s="500">
        <f>B42+B96+B171+B130</f>
        <v>39407</v>
      </c>
      <c r="C435" s="500">
        <f>C42+C96+C171+C130</f>
        <v>11390</v>
      </c>
      <c r="D435" s="500">
        <f>D42+D96+D171+D130</f>
        <v>3646</v>
      </c>
      <c r="E435" s="500">
        <f>E42+E96+E171+E130</f>
        <v>8343</v>
      </c>
      <c r="F435" s="500">
        <f>F42+F96+F171+F130</f>
        <v>176</v>
      </c>
      <c r="G435" s="253">
        <f t="shared" si="12"/>
        <v>1427</v>
      </c>
      <c r="H435" s="253">
        <v>357</v>
      </c>
      <c r="I435" s="253">
        <v>200</v>
      </c>
      <c r="J435" s="253">
        <v>300</v>
      </c>
      <c r="K435" s="509">
        <f t="shared" si="13"/>
        <v>857</v>
      </c>
      <c r="M435" s="510">
        <f t="shared" si="14"/>
        <v>40834</v>
      </c>
      <c r="N435" s="510">
        <f t="shared" si="15"/>
        <v>11747</v>
      </c>
      <c r="O435" s="510">
        <f t="shared" si="16"/>
        <v>3846</v>
      </c>
      <c r="P435" s="510">
        <f t="shared" si="17"/>
        <v>8643</v>
      </c>
      <c r="T435" s="257">
        <f t="shared" si="18"/>
        <v>8819</v>
      </c>
      <c r="W435" s="503"/>
      <c r="X435" s="257"/>
      <c r="Y435" s="257"/>
      <c r="Z435" s="257"/>
    </row>
    <row r="436" spans="1:26" s="253" customFormat="1" ht="15.75">
      <c r="A436" s="496" t="s">
        <v>464</v>
      </c>
      <c r="B436" s="500">
        <f>B43+B77+B172+B372+B371+B111</f>
        <v>15172</v>
      </c>
      <c r="C436" s="500">
        <f>C43+C77+C172+C372+C371+C111</f>
        <v>4200</v>
      </c>
      <c r="D436" s="500">
        <f>D43+D77+D172+D372+D371+D111</f>
        <v>706</v>
      </c>
      <c r="E436" s="500">
        <f>E43+E77+E172+E372+E371+E111</f>
        <v>3455</v>
      </c>
      <c r="F436" s="500">
        <f>F43+F77+F172+F372+F371+F111</f>
        <v>246</v>
      </c>
      <c r="G436" s="253">
        <f t="shared" si="12"/>
        <v>245</v>
      </c>
      <c r="H436" s="253">
        <v>50</v>
      </c>
      <c r="I436" s="253">
        <v>50</v>
      </c>
      <c r="J436" s="253">
        <v>50</v>
      </c>
      <c r="K436" s="509">
        <f t="shared" si="13"/>
        <v>150</v>
      </c>
      <c r="M436" s="510">
        <f t="shared" si="14"/>
        <v>15417</v>
      </c>
      <c r="N436" s="510">
        <f t="shared" si="15"/>
        <v>4250</v>
      </c>
      <c r="O436" s="510">
        <f t="shared" si="16"/>
        <v>756</v>
      </c>
      <c r="P436" s="510">
        <f t="shared" si="17"/>
        <v>3505</v>
      </c>
      <c r="T436" s="257">
        <f t="shared" si="18"/>
        <v>3751</v>
      </c>
      <c r="W436" s="510"/>
      <c r="X436" s="257"/>
      <c r="Y436" s="257"/>
      <c r="Z436" s="257"/>
    </row>
    <row r="437" spans="1:26" s="253" customFormat="1" ht="15.75">
      <c r="A437" s="496" t="s">
        <v>465</v>
      </c>
      <c r="B437" s="500">
        <f>B46+B79+B173+B373+B113</f>
        <v>48104</v>
      </c>
      <c r="C437" s="500">
        <f>C46+C79+C173+C373+C113</f>
        <v>11153</v>
      </c>
      <c r="D437" s="500">
        <f>D46+D79+D173+D373+D113</f>
        <v>6054</v>
      </c>
      <c r="E437" s="500">
        <f>E46+E79+E173+E373+E113</f>
        <v>10314</v>
      </c>
      <c r="F437" s="500">
        <f>F46+F79+F173+F373+F113</f>
        <v>986</v>
      </c>
      <c r="G437" s="253">
        <f t="shared" si="12"/>
        <v>4159</v>
      </c>
      <c r="H437" s="253">
        <v>1194</v>
      </c>
      <c r="I437" s="253">
        <v>512</v>
      </c>
      <c r="J437" s="253">
        <v>846</v>
      </c>
      <c r="K437" s="509">
        <f t="shared" si="13"/>
        <v>2552</v>
      </c>
      <c r="M437" s="510">
        <f t="shared" si="14"/>
        <v>52263</v>
      </c>
      <c r="N437" s="510">
        <f t="shared" si="15"/>
        <v>12347</v>
      </c>
      <c r="O437" s="510">
        <f t="shared" si="16"/>
        <v>6566</v>
      </c>
      <c r="P437" s="510">
        <f t="shared" si="17"/>
        <v>11160</v>
      </c>
      <c r="T437" s="257">
        <f t="shared" si="18"/>
        <v>12146</v>
      </c>
      <c r="W437" s="510"/>
      <c r="X437" s="257"/>
      <c r="Y437" s="257"/>
      <c r="Z437" s="257"/>
    </row>
    <row r="438" spans="1:26" s="253" customFormat="1" ht="15.75">
      <c r="A438" s="497" t="s">
        <v>466</v>
      </c>
      <c r="B438" s="500">
        <f>B174</f>
        <v>833</v>
      </c>
      <c r="C438" s="500">
        <f>C174</f>
        <v>215</v>
      </c>
      <c r="D438" s="500">
        <f>D174</f>
        <v>58</v>
      </c>
      <c r="E438" s="500">
        <f>E174</f>
        <v>193</v>
      </c>
      <c r="F438" s="500">
        <f>F174</f>
        <v>0</v>
      </c>
      <c r="G438" s="253">
        <f t="shared" si="12"/>
        <v>39</v>
      </c>
      <c r="H438" s="253">
        <v>10</v>
      </c>
      <c r="I438" s="253">
        <v>0</v>
      </c>
      <c r="J438" s="253">
        <v>10</v>
      </c>
      <c r="K438" s="509">
        <f t="shared" si="13"/>
        <v>20</v>
      </c>
      <c r="M438" s="510">
        <f t="shared" si="14"/>
        <v>872</v>
      </c>
      <c r="N438" s="510">
        <f t="shared" si="15"/>
        <v>225</v>
      </c>
      <c r="O438" s="510">
        <f t="shared" si="16"/>
        <v>58</v>
      </c>
      <c r="P438" s="510">
        <f t="shared" si="17"/>
        <v>203</v>
      </c>
      <c r="T438" s="257">
        <f t="shared" si="18"/>
        <v>203</v>
      </c>
      <c r="W438" s="503"/>
      <c r="X438" s="257"/>
      <c r="Y438" s="257"/>
      <c r="Z438" s="257"/>
    </row>
    <row r="439" spans="1:26" s="253" customFormat="1" ht="15.75">
      <c r="A439" s="496" t="s">
        <v>467</v>
      </c>
      <c r="B439" s="500">
        <f>B47+B81+B175+B115</f>
        <v>20879</v>
      </c>
      <c r="C439" s="500">
        <f>C47+C81+C175+C115</f>
        <v>5031</v>
      </c>
      <c r="D439" s="500">
        <f>D47+D81+D175+D115</f>
        <v>1132</v>
      </c>
      <c r="E439" s="500">
        <f>E47+E81+E175+E115</f>
        <v>4613</v>
      </c>
      <c r="F439" s="500">
        <f>F47+F81+F175+F115</f>
        <v>1339</v>
      </c>
      <c r="G439" s="253">
        <f t="shared" si="12"/>
        <v>362</v>
      </c>
      <c r="H439" s="253">
        <v>52</v>
      </c>
      <c r="I439" s="253">
        <v>20</v>
      </c>
      <c r="J439" s="253">
        <v>100</v>
      </c>
      <c r="K439" s="509">
        <f t="shared" si="13"/>
        <v>172</v>
      </c>
      <c r="M439" s="510">
        <f t="shared" si="14"/>
        <v>21241</v>
      </c>
      <c r="N439" s="510">
        <f t="shared" si="15"/>
        <v>5083</v>
      </c>
      <c r="O439" s="510">
        <f t="shared" si="16"/>
        <v>1152</v>
      </c>
      <c r="P439" s="510">
        <f t="shared" si="17"/>
        <v>4713</v>
      </c>
      <c r="T439" s="257">
        <f t="shared" si="18"/>
        <v>6052</v>
      </c>
      <c r="W439" s="510"/>
      <c r="X439" s="257"/>
      <c r="Y439" s="257"/>
      <c r="Z439" s="257"/>
    </row>
    <row r="440" spans="1:26" s="253" customFormat="1" ht="15.75">
      <c r="A440" s="501" t="s">
        <v>32</v>
      </c>
      <c r="B440" s="502">
        <f aca="true" t="shared" si="19" ref="B440:J440">SUM(B411:B439)</f>
        <v>1151277</v>
      </c>
      <c r="C440" s="502">
        <f t="shared" si="19"/>
        <v>358892</v>
      </c>
      <c r="D440" s="502">
        <f t="shared" si="19"/>
        <v>70516</v>
      </c>
      <c r="E440" s="502">
        <f t="shared" si="19"/>
        <v>237195</v>
      </c>
      <c r="F440" s="502">
        <f t="shared" si="19"/>
        <v>35204</v>
      </c>
      <c r="G440" s="514">
        <f t="shared" si="19"/>
        <v>21028</v>
      </c>
      <c r="H440" s="514">
        <f t="shared" si="19"/>
        <v>8331</v>
      </c>
      <c r="I440" s="514">
        <f t="shared" si="19"/>
        <v>2115</v>
      </c>
      <c r="J440" s="514">
        <f t="shared" si="19"/>
        <v>3649</v>
      </c>
      <c r="K440" s="509"/>
      <c r="M440" s="515">
        <f>SUM(M411:M439)</f>
        <v>1172305</v>
      </c>
      <c r="N440" s="515">
        <f t="shared" si="15"/>
        <v>367223</v>
      </c>
      <c r="O440" s="515">
        <f t="shared" si="16"/>
        <v>72631</v>
      </c>
      <c r="P440" s="515">
        <f t="shared" si="17"/>
        <v>240844</v>
      </c>
      <c r="W440" s="503"/>
      <c r="X440" s="503"/>
      <c r="Y440" s="503"/>
      <c r="Z440" s="503"/>
    </row>
    <row r="441" spans="2:26" s="253" customFormat="1" ht="15">
      <c r="B441" s="257">
        <f>B440-(B397-B396)</f>
        <v>0</v>
      </c>
      <c r="C441" s="257">
        <f>C440-(C397-C396)</f>
        <v>0</v>
      </c>
      <c r="D441" s="257">
        <f>D440-(D397-D396)</f>
        <v>0</v>
      </c>
      <c r="E441" s="257">
        <f>E440-(E397-E396)</f>
        <v>0</v>
      </c>
      <c r="F441" s="257">
        <f>F440-(F397-F396)</f>
        <v>0</v>
      </c>
      <c r="G441" s="508">
        <f>G440-B396</f>
        <v>0</v>
      </c>
      <c r="H441" s="508">
        <f>H440-C396</f>
        <v>0</v>
      </c>
      <c r="I441" s="508">
        <f>I440-D396</f>
        <v>0</v>
      </c>
      <c r="J441" s="508">
        <f>J440-E396</f>
        <v>0</v>
      </c>
      <c r="N441" s="510">
        <f>N440-C397</f>
        <v>0</v>
      </c>
      <c r="O441" s="510">
        <f>O440-D397</f>
        <v>0</v>
      </c>
      <c r="P441" s="510">
        <f>P440-E397</f>
        <v>0</v>
      </c>
      <c r="W441" s="503"/>
      <c r="Y441" s="257"/>
      <c r="Z441" s="503"/>
    </row>
    <row r="442" spans="1:26" s="253" customFormat="1" ht="15">
      <c r="A442" s="253" t="s">
        <v>492</v>
      </c>
      <c r="B442" s="257">
        <f>SUM(C442:F442)</f>
        <v>1071029.2</v>
      </c>
      <c r="C442" s="333">
        <f>C440-C421-C398</f>
        <v>278595</v>
      </c>
      <c r="D442" s="333">
        <f>D440-D421</f>
        <v>70516</v>
      </c>
      <c r="E442" s="333">
        <f>(E440-E421)*2.9</f>
        <v>686714.2</v>
      </c>
      <c r="F442" s="257">
        <f>F440</f>
        <v>35204</v>
      </c>
      <c r="I442" s="257"/>
      <c r="K442" s="257"/>
      <c r="L442" s="257"/>
      <c r="M442" s="257"/>
      <c r="N442" s="257"/>
      <c r="O442" s="257"/>
      <c r="W442" s="257"/>
      <c r="X442" s="257"/>
      <c r="Y442" s="257"/>
      <c r="Z442" s="257"/>
    </row>
    <row r="443" spans="1:20" s="253" customFormat="1" ht="15">
      <c r="A443" s="253" t="s">
        <v>490</v>
      </c>
      <c r="B443" s="257">
        <f>SUM(C443:F443)</f>
        <v>14095</v>
      </c>
      <c r="C443" s="333">
        <f>C396</f>
        <v>8331</v>
      </c>
      <c r="D443" s="333">
        <f>D396</f>
        <v>2115</v>
      </c>
      <c r="E443" s="333">
        <f>E396</f>
        <v>3649</v>
      </c>
      <c r="F443" s="257">
        <f>F396</f>
        <v>0</v>
      </c>
      <c r="N443" s="257">
        <f>N434+N413</f>
        <v>72082</v>
      </c>
      <c r="O443" s="257">
        <f>O434+O413</f>
        <v>14139</v>
      </c>
      <c r="P443" s="257">
        <f>P434+P413</f>
        <v>47312</v>
      </c>
      <c r="Q443" s="257"/>
      <c r="T443" s="257">
        <f>T434+T413</f>
        <v>67947</v>
      </c>
    </row>
    <row r="444" spans="1:6" s="253" customFormat="1" ht="15">
      <c r="A444" s="253" t="s">
        <v>491</v>
      </c>
      <c r="B444" s="257">
        <f>SUM(C444:E444)</f>
        <v>185414.3</v>
      </c>
      <c r="C444" s="506">
        <f>'1.1. ПРОФ.МЕРОПРИЯТИЯ'!B26+'1.1. ПРОФ.МЕРОПРИЯТИЯ'!G26</f>
        <v>184263</v>
      </c>
      <c r="D444" s="334"/>
      <c r="E444" s="333">
        <f>E421*2.9</f>
        <v>1151.3</v>
      </c>
      <c r="F444" s="257">
        <f>F421*10</f>
        <v>0</v>
      </c>
    </row>
    <row r="445" spans="1:6" s="253" customFormat="1" ht="15">
      <c r="A445" s="253" t="s">
        <v>471</v>
      </c>
      <c r="B445" s="503">
        <f>SUM(B442:B444)</f>
        <v>1270538.5</v>
      </c>
      <c r="C445" s="334"/>
      <c r="D445" s="334"/>
      <c r="E445" s="333"/>
      <c r="F445" s="257"/>
    </row>
    <row r="446" spans="3:6" s="253" customFormat="1" ht="15">
      <c r="C446" s="334"/>
      <c r="D446" s="334"/>
      <c r="E446" s="333"/>
      <c r="F446" s="257"/>
    </row>
    <row r="447" spans="3:6" s="253" customFormat="1" ht="15">
      <c r="C447" s="334"/>
      <c r="D447" s="334"/>
      <c r="E447" s="333"/>
      <c r="F447" s="257"/>
    </row>
    <row r="448" spans="3:6" s="253" customFormat="1" ht="15">
      <c r="C448" s="334"/>
      <c r="D448" s="334"/>
      <c r="E448" s="333"/>
      <c r="F448" s="257"/>
    </row>
    <row r="449" spans="3:6" s="253" customFormat="1" ht="15">
      <c r="C449" s="334"/>
      <c r="D449" s="334"/>
      <c r="E449" s="333"/>
      <c r="F449" s="257"/>
    </row>
    <row r="450" spans="3:6" s="253" customFormat="1" ht="15">
      <c r="C450" s="334"/>
      <c r="D450" s="334"/>
      <c r="E450" s="333"/>
      <c r="F450" s="257"/>
    </row>
    <row r="451" spans="3:6" s="253" customFormat="1" ht="15">
      <c r="C451" s="334"/>
      <c r="D451" s="334"/>
      <c r="E451" s="333"/>
      <c r="F451" s="257"/>
    </row>
    <row r="452" spans="3:6" s="253" customFormat="1" ht="15">
      <c r="C452" s="334"/>
      <c r="D452" s="334"/>
      <c r="E452" s="333"/>
      <c r="F452" s="257"/>
    </row>
    <row r="453" spans="3:6" s="253" customFormat="1" ht="15">
      <c r="C453" s="334"/>
      <c r="D453" s="334"/>
      <c r="E453" s="333"/>
      <c r="F453" s="257"/>
    </row>
    <row r="454" spans="3:6" s="253" customFormat="1" ht="15">
      <c r="C454" s="334"/>
      <c r="D454" s="334"/>
      <c r="E454" s="333"/>
      <c r="F454" s="257"/>
    </row>
    <row r="455" spans="3:6" s="253" customFormat="1" ht="15">
      <c r="C455" s="334"/>
      <c r="D455" s="334"/>
      <c r="E455" s="333"/>
      <c r="F455" s="257"/>
    </row>
    <row r="456" spans="3:6" s="253" customFormat="1" ht="15">
      <c r="C456" s="334"/>
      <c r="D456" s="334"/>
      <c r="E456" s="333"/>
      <c r="F456" s="257"/>
    </row>
    <row r="457" spans="3:6" s="253" customFormat="1" ht="15">
      <c r="C457" s="334"/>
      <c r="D457" s="334"/>
      <c r="E457" s="333"/>
      <c r="F457" s="257"/>
    </row>
    <row r="458" spans="3:6" s="253" customFormat="1" ht="15">
      <c r="C458" s="334"/>
      <c r="D458" s="334"/>
      <c r="E458" s="333"/>
      <c r="F458" s="257"/>
    </row>
    <row r="459" spans="3:6" s="253" customFormat="1" ht="15">
      <c r="C459" s="334"/>
      <c r="D459" s="334"/>
      <c r="E459" s="333"/>
      <c r="F459" s="257"/>
    </row>
    <row r="460" spans="3:6" s="253" customFormat="1" ht="15">
      <c r="C460" s="334"/>
      <c r="D460" s="334"/>
      <c r="E460" s="333"/>
      <c r="F460" s="257"/>
    </row>
    <row r="461" spans="3:6" s="253" customFormat="1" ht="15">
      <c r="C461" s="334"/>
      <c r="D461" s="334"/>
      <c r="E461" s="333"/>
      <c r="F461" s="257"/>
    </row>
    <row r="462" spans="3:6" s="253" customFormat="1" ht="15">
      <c r="C462" s="334"/>
      <c r="D462" s="334"/>
      <c r="E462" s="333"/>
      <c r="F462" s="257"/>
    </row>
    <row r="463" spans="3:6" s="253" customFormat="1" ht="15">
      <c r="C463" s="334"/>
      <c r="D463" s="334"/>
      <c r="E463" s="333"/>
      <c r="F463" s="257"/>
    </row>
    <row r="464" spans="3:6" s="253" customFormat="1" ht="15">
      <c r="C464" s="334"/>
      <c r="D464" s="334"/>
      <c r="E464" s="333"/>
      <c r="F464" s="257"/>
    </row>
    <row r="465" spans="3:6" s="253" customFormat="1" ht="15">
      <c r="C465" s="334"/>
      <c r="D465" s="334"/>
      <c r="E465" s="333"/>
      <c r="F465" s="257"/>
    </row>
    <row r="466" spans="3:6" s="253" customFormat="1" ht="15">
      <c r="C466" s="334"/>
      <c r="D466" s="334"/>
      <c r="E466" s="333"/>
      <c r="F466" s="257"/>
    </row>
    <row r="467" spans="3:6" s="253" customFormat="1" ht="15">
      <c r="C467" s="334"/>
      <c r="D467" s="334"/>
      <c r="E467" s="333"/>
      <c r="F467" s="257"/>
    </row>
    <row r="468" spans="3:6" s="253" customFormat="1" ht="15">
      <c r="C468" s="334"/>
      <c r="D468" s="334"/>
      <c r="E468" s="333"/>
      <c r="F468" s="257"/>
    </row>
    <row r="469" spans="3:6" s="253" customFormat="1" ht="15">
      <c r="C469" s="334"/>
      <c r="D469" s="334"/>
      <c r="E469" s="333"/>
      <c r="F469" s="257"/>
    </row>
    <row r="470" spans="3:6" s="253" customFormat="1" ht="15">
      <c r="C470" s="334"/>
      <c r="D470" s="334"/>
      <c r="E470" s="333"/>
      <c r="F470" s="257"/>
    </row>
    <row r="471" spans="3:6" s="253" customFormat="1" ht="15">
      <c r="C471" s="334"/>
      <c r="D471" s="334"/>
      <c r="E471" s="333"/>
      <c r="F471" s="257"/>
    </row>
    <row r="472" spans="3:6" s="253" customFormat="1" ht="15">
      <c r="C472" s="334"/>
      <c r="D472" s="334"/>
      <c r="E472" s="333"/>
      <c r="F472" s="257"/>
    </row>
    <row r="473" spans="3:6" s="253" customFormat="1" ht="15">
      <c r="C473" s="334"/>
      <c r="D473" s="334"/>
      <c r="E473" s="333"/>
      <c r="F473" s="257"/>
    </row>
    <row r="474" spans="3:6" s="253" customFormat="1" ht="15">
      <c r="C474" s="334"/>
      <c r="D474" s="334"/>
      <c r="E474" s="333"/>
      <c r="F474" s="257"/>
    </row>
    <row r="475" spans="3:6" s="253" customFormat="1" ht="15">
      <c r="C475" s="334"/>
      <c r="D475" s="334"/>
      <c r="E475" s="333"/>
      <c r="F475" s="257"/>
    </row>
    <row r="476" spans="3:6" s="253" customFormat="1" ht="15">
      <c r="C476" s="334"/>
      <c r="D476" s="334"/>
      <c r="E476" s="333"/>
      <c r="F476" s="257"/>
    </row>
    <row r="477" spans="3:6" s="253" customFormat="1" ht="15">
      <c r="C477" s="334"/>
      <c r="D477" s="334"/>
      <c r="E477" s="333"/>
      <c r="F477" s="257"/>
    </row>
    <row r="478" spans="3:6" s="253" customFormat="1" ht="15">
      <c r="C478" s="334"/>
      <c r="D478" s="334"/>
      <c r="E478" s="333"/>
      <c r="F478" s="257"/>
    </row>
    <row r="479" spans="3:6" s="253" customFormat="1" ht="15">
      <c r="C479" s="334"/>
      <c r="D479" s="334"/>
      <c r="E479" s="333"/>
      <c r="F479" s="257"/>
    </row>
    <row r="480" spans="3:6" s="253" customFormat="1" ht="15">
      <c r="C480" s="334"/>
      <c r="D480" s="334"/>
      <c r="E480" s="333"/>
      <c r="F480" s="257"/>
    </row>
    <row r="481" spans="3:6" s="253" customFormat="1" ht="15">
      <c r="C481" s="334"/>
      <c r="D481" s="334"/>
      <c r="E481" s="333"/>
      <c r="F481" s="257"/>
    </row>
    <row r="482" spans="3:6" s="253" customFormat="1" ht="15">
      <c r="C482" s="334"/>
      <c r="D482" s="334"/>
      <c r="E482" s="333"/>
      <c r="F482" s="257"/>
    </row>
    <row r="483" spans="3:6" s="253" customFormat="1" ht="15">
      <c r="C483" s="334"/>
      <c r="D483" s="334"/>
      <c r="E483" s="333"/>
      <c r="F483" s="257"/>
    </row>
    <row r="484" spans="3:6" s="253" customFormat="1" ht="15">
      <c r="C484" s="334"/>
      <c r="D484" s="334"/>
      <c r="E484" s="333"/>
      <c r="F484" s="257"/>
    </row>
    <row r="485" spans="3:6" s="253" customFormat="1" ht="15">
      <c r="C485" s="334"/>
      <c r="D485" s="334"/>
      <c r="E485" s="333"/>
      <c r="F485" s="257"/>
    </row>
    <row r="486" spans="3:6" s="253" customFormat="1" ht="15">
      <c r="C486" s="334"/>
      <c r="D486" s="334"/>
      <c r="E486" s="333"/>
      <c r="F486" s="257"/>
    </row>
    <row r="487" spans="3:6" s="253" customFormat="1" ht="15">
      <c r="C487" s="334"/>
      <c r="D487" s="334"/>
      <c r="E487" s="333"/>
      <c r="F487" s="257"/>
    </row>
    <row r="488" spans="3:6" s="253" customFormat="1" ht="15">
      <c r="C488" s="334"/>
      <c r="D488" s="334"/>
      <c r="E488" s="333"/>
      <c r="F488" s="257"/>
    </row>
    <row r="489" spans="3:6" s="253" customFormat="1" ht="15">
      <c r="C489" s="334"/>
      <c r="D489" s="334"/>
      <c r="E489" s="333"/>
      <c r="F489" s="257"/>
    </row>
    <row r="490" spans="3:6" s="253" customFormat="1" ht="15">
      <c r="C490" s="334"/>
      <c r="D490" s="334"/>
      <c r="E490" s="333"/>
      <c r="F490" s="257"/>
    </row>
    <row r="491" spans="3:6" s="253" customFormat="1" ht="15">
      <c r="C491" s="334"/>
      <c r="D491" s="334"/>
      <c r="E491" s="333"/>
      <c r="F491" s="257"/>
    </row>
    <row r="492" spans="3:6" s="253" customFormat="1" ht="15">
      <c r="C492" s="334"/>
      <c r="D492" s="334"/>
      <c r="E492" s="333"/>
      <c r="F492" s="257"/>
    </row>
    <row r="493" spans="3:6" s="253" customFormat="1" ht="15">
      <c r="C493" s="334"/>
      <c r="D493" s="334"/>
      <c r="E493" s="333"/>
      <c r="F493" s="257"/>
    </row>
    <row r="494" spans="3:6" s="253" customFormat="1" ht="15">
      <c r="C494" s="334"/>
      <c r="D494" s="334"/>
      <c r="E494" s="333"/>
      <c r="F494" s="257"/>
    </row>
    <row r="495" spans="3:6" s="253" customFormat="1" ht="15">
      <c r="C495" s="334"/>
      <c r="D495" s="334"/>
      <c r="E495" s="333"/>
      <c r="F495" s="257"/>
    </row>
    <row r="496" spans="3:6" s="253" customFormat="1" ht="15">
      <c r="C496" s="334"/>
      <c r="D496" s="334"/>
      <c r="E496" s="333"/>
      <c r="F496" s="257"/>
    </row>
    <row r="497" spans="3:6" s="253" customFormat="1" ht="15">
      <c r="C497" s="334"/>
      <c r="D497" s="334"/>
      <c r="E497" s="333"/>
      <c r="F497" s="257"/>
    </row>
    <row r="498" spans="3:6" s="253" customFormat="1" ht="15">
      <c r="C498" s="334"/>
      <c r="D498" s="334"/>
      <c r="E498" s="333"/>
      <c r="F498" s="257"/>
    </row>
    <row r="499" spans="3:6" s="253" customFormat="1" ht="15">
      <c r="C499" s="334"/>
      <c r="D499" s="334"/>
      <c r="E499" s="333"/>
      <c r="F499" s="257"/>
    </row>
    <row r="500" spans="3:6" s="253" customFormat="1" ht="15">
      <c r="C500" s="334"/>
      <c r="D500" s="334"/>
      <c r="E500" s="333"/>
      <c r="F500" s="257"/>
    </row>
    <row r="501" spans="3:6" s="253" customFormat="1" ht="15">
      <c r="C501" s="334"/>
      <c r="D501" s="334"/>
      <c r="E501" s="333"/>
      <c r="F501" s="257"/>
    </row>
    <row r="502" spans="3:6" s="253" customFormat="1" ht="15">
      <c r="C502" s="334"/>
      <c r="D502" s="334"/>
      <c r="E502" s="333"/>
      <c r="F502" s="257"/>
    </row>
    <row r="503" spans="3:6" s="253" customFormat="1" ht="15">
      <c r="C503" s="334"/>
      <c r="D503" s="334"/>
      <c r="E503" s="333"/>
      <c r="F503" s="257"/>
    </row>
    <row r="504" spans="3:6" s="253" customFormat="1" ht="15">
      <c r="C504" s="334"/>
      <c r="D504" s="334"/>
      <c r="E504" s="333"/>
      <c r="F504" s="257"/>
    </row>
    <row r="505" spans="3:6" s="253" customFormat="1" ht="15">
      <c r="C505" s="334"/>
      <c r="D505" s="334"/>
      <c r="E505" s="333"/>
      <c r="F505" s="257"/>
    </row>
    <row r="506" spans="3:6" s="253" customFormat="1" ht="15">
      <c r="C506" s="334"/>
      <c r="D506" s="334"/>
      <c r="E506" s="333"/>
      <c r="F506" s="257"/>
    </row>
    <row r="507" spans="3:6" s="253" customFormat="1" ht="15">
      <c r="C507" s="334"/>
      <c r="D507" s="334"/>
      <c r="E507" s="333"/>
      <c r="F507" s="257"/>
    </row>
    <row r="508" spans="3:6" s="253" customFormat="1" ht="15">
      <c r="C508" s="334"/>
      <c r="D508" s="334"/>
      <c r="E508" s="333"/>
      <c r="F508" s="257"/>
    </row>
    <row r="509" spans="3:6" s="253" customFormat="1" ht="15">
      <c r="C509" s="334"/>
      <c r="D509" s="334"/>
      <c r="E509" s="333"/>
      <c r="F509" s="257"/>
    </row>
    <row r="510" spans="3:6" s="253" customFormat="1" ht="15">
      <c r="C510" s="334"/>
      <c r="D510" s="334"/>
      <c r="E510" s="333"/>
      <c r="F510" s="257"/>
    </row>
    <row r="511" spans="3:6" s="253" customFormat="1" ht="15">
      <c r="C511" s="334"/>
      <c r="D511" s="334"/>
      <c r="E511" s="333"/>
      <c r="F511" s="257"/>
    </row>
    <row r="512" spans="3:6" s="253" customFormat="1" ht="15">
      <c r="C512" s="334"/>
      <c r="D512" s="334"/>
      <c r="E512" s="333"/>
      <c r="F512" s="257"/>
    </row>
    <row r="513" spans="3:6" s="253" customFormat="1" ht="15">
      <c r="C513" s="334"/>
      <c r="D513" s="334"/>
      <c r="E513" s="333"/>
      <c r="F513" s="257"/>
    </row>
    <row r="514" spans="3:6" s="253" customFormat="1" ht="15">
      <c r="C514" s="334"/>
      <c r="D514" s="334"/>
      <c r="E514" s="333"/>
      <c r="F514" s="257"/>
    </row>
    <row r="515" spans="3:6" s="253" customFormat="1" ht="15">
      <c r="C515" s="334"/>
      <c r="D515" s="334"/>
      <c r="E515" s="333"/>
      <c r="F515" s="257"/>
    </row>
    <row r="516" spans="3:6" s="253" customFormat="1" ht="15">
      <c r="C516" s="334"/>
      <c r="D516" s="334"/>
      <c r="E516" s="333"/>
      <c r="F516" s="257"/>
    </row>
    <row r="517" spans="3:6" s="253" customFormat="1" ht="15">
      <c r="C517" s="334"/>
      <c r="D517" s="334"/>
      <c r="E517" s="333"/>
      <c r="F517" s="257"/>
    </row>
    <row r="518" spans="3:6" s="253" customFormat="1" ht="15">
      <c r="C518" s="334"/>
      <c r="D518" s="334"/>
      <c r="E518" s="333"/>
      <c r="F518" s="257"/>
    </row>
    <row r="519" spans="3:6" s="253" customFormat="1" ht="15">
      <c r="C519" s="334"/>
      <c r="D519" s="334"/>
      <c r="E519" s="333"/>
      <c r="F519" s="257"/>
    </row>
    <row r="520" spans="3:6" s="253" customFormat="1" ht="15">
      <c r="C520" s="334"/>
      <c r="D520" s="334"/>
      <c r="E520" s="333"/>
      <c r="F520" s="257"/>
    </row>
    <row r="521" spans="3:6" s="253" customFormat="1" ht="15">
      <c r="C521" s="334"/>
      <c r="D521" s="334"/>
      <c r="E521" s="333"/>
      <c r="F521" s="257"/>
    </row>
    <row r="522" spans="3:6" s="253" customFormat="1" ht="15">
      <c r="C522" s="334"/>
      <c r="D522" s="334"/>
      <c r="E522" s="333"/>
      <c r="F522" s="257"/>
    </row>
    <row r="523" spans="3:6" s="253" customFormat="1" ht="15">
      <c r="C523" s="334"/>
      <c r="D523" s="334"/>
      <c r="E523" s="333"/>
      <c r="F523" s="257"/>
    </row>
    <row r="524" spans="3:6" s="253" customFormat="1" ht="15">
      <c r="C524" s="334"/>
      <c r="D524" s="334"/>
      <c r="E524" s="333"/>
      <c r="F524" s="257"/>
    </row>
    <row r="525" spans="3:6" s="253" customFormat="1" ht="15">
      <c r="C525" s="334"/>
      <c r="D525" s="334"/>
      <c r="E525" s="333"/>
      <c r="F525" s="257"/>
    </row>
    <row r="526" spans="3:6" s="253" customFormat="1" ht="15">
      <c r="C526" s="334"/>
      <c r="D526" s="334"/>
      <c r="E526" s="333"/>
      <c r="F526" s="257"/>
    </row>
    <row r="527" spans="3:6" s="253" customFormat="1" ht="15">
      <c r="C527" s="334"/>
      <c r="D527" s="334"/>
      <c r="E527" s="333"/>
      <c r="F527" s="257"/>
    </row>
    <row r="528" spans="3:6" s="253" customFormat="1" ht="15">
      <c r="C528" s="334"/>
      <c r="D528" s="334"/>
      <c r="E528" s="333"/>
      <c r="F528" s="257"/>
    </row>
    <row r="529" spans="3:6" s="253" customFormat="1" ht="15">
      <c r="C529" s="334"/>
      <c r="D529" s="334"/>
      <c r="E529" s="333"/>
      <c r="F529" s="257"/>
    </row>
    <row r="530" spans="3:6" s="253" customFormat="1" ht="15">
      <c r="C530" s="334"/>
      <c r="D530" s="334"/>
      <c r="E530" s="333"/>
      <c r="F530" s="257"/>
    </row>
    <row r="531" spans="3:6" s="253" customFormat="1" ht="15">
      <c r="C531" s="334"/>
      <c r="D531" s="334"/>
      <c r="E531" s="333"/>
      <c r="F531" s="257"/>
    </row>
    <row r="532" spans="3:6" s="253" customFormat="1" ht="15">
      <c r="C532" s="334"/>
      <c r="D532" s="334"/>
      <c r="E532" s="333"/>
      <c r="F532" s="257"/>
    </row>
    <row r="533" spans="3:6" s="253" customFormat="1" ht="15">
      <c r="C533" s="334"/>
      <c r="D533" s="334"/>
      <c r="E533" s="333"/>
      <c r="F533" s="257"/>
    </row>
    <row r="534" spans="3:6" s="253" customFormat="1" ht="15">
      <c r="C534" s="334"/>
      <c r="D534" s="334"/>
      <c r="E534" s="333"/>
      <c r="F534" s="257"/>
    </row>
    <row r="535" spans="3:6" s="253" customFormat="1" ht="15">
      <c r="C535" s="334"/>
      <c r="D535" s="334"/>
      <c r="E535" s="333"/>
      <c r="F535" s="257"/>
    </row>
    <row r="536" spans="3:6" s="253" customFormat="1" ht="15">
      <c r="C536" s="334"/>
      <c r="D536" s="334"/>
      <c r="E536" s="333"/>
      <c r="F536" s="257"/>
    </row>
    <row r="537" spans="3:6" s="253" customFormat="1" ht="15">
      <c r="C537" s="334"/>
      <c r="D537" s="334"/>
      <c r="E537" s="333"/>
      <c r="F537" s="257"/>
    </row>
    <row r="538" spans="3:6" s="253" customFormat="1" ht="15">
      <c r="C538" s="334"/>
      <c r="D538" s="334"/>
      <c r="E538" s="333"/>
      <c r="F538" s="257"/>
    </row>
    <row r="539" spans="3:6" s="253" customFormat="1" ht="15">
      <c r="C539" s="334"/>
      <c r="D539" s="334"/>
      <c r="E539" s="333"/>
      <c r="F539" s="257"/>
    </row>
    <row r="540" spans="3:6" s="253" customFormat="1" ht="15">
      <c r="C540" s="334"/>
      <c r="D540" s="334"/>
      <c r="E540" s="333"/>
      <c r="F540" s="257"/>
    </row>
    <row r="541" spans="3:6" s="253" customFormat="1" ht="15">
      <c r="C541" s="334"/>
      <c r="D541" s="334"/>
      <c r="E541" s="333"/>
      <c r="F541" s="257"/>
    </row>
    <row r="542" spans="3:6" s="253" customFormat="1" ht="15">
      <c r="C542" s="334"/>
      <c r="D542" s="334"/>
      <c r="E542" s="333"/>
      <c r="F542" s="257"/>
    </row>
    <row r="543" spans="3:6" s="253" customFormat="1" ht="15">
      <c r="C543" s="334"/>
      <c r="D543" s="334"/>
      <c r="E543" s="333"/>
      <c r="F543" s="257"/>
    </row>
    <row r="544" spans="3:6" s="253" customFormat="1" ht="15">
      <c r="C544" s="334"/>
      <c r="D544" s="334"/>
      <c r="E544" s="333"/>
      <c r="F544" s="257"/>
    </row>
    <row r="545" spans="3:6" s="253" customFormat="1" ht="15">
      <c r="C545" s="334"/>
      <c r="D545" s="334"/>
      <c r="E545" s="333"/>
      <c r="F545" s="257"/>
    </row>
    <row r="546" spans="3:6" s="253" customFormat="1" ht="15">
      <c r="C546" s="334"/>
      <c r="D546" s="334"/>
      <c r="E546" s="333"/>
      <c r="F546" s="257"/>
    </row>
    <row r="547" spans="3:6" s="253" customFormat="1" ht="15">
      <c r="C547" s="334"/>
      <c r="D547" s="334"/>
      <c r="E547" s="333"/>
      <c r="F547" s="257"/>
    </row>
    <row r="548" spans="3:6" s="253" customFormat="1" ht="15">
      <c r="C548" s="334"/>
      <c r="D548" s="334"/>
      <c r="E548" s="333"/>
      <c r="F548" s="257"/>
    </row>
    <row r="549" spans="3:6" s="253" customFormat="1" ht="15">
      <c r="C549" s="334"/>
      <c r="D549" s="334"/>
      <c r="E549" s="333"/>
      <c r="F549" s="257"/>
    </row>
    <row r="550" spans="3:6" s="253" customFormat="1" ht="15">
      <c r="C550" s="334"/>
      <c r="D550" s="334"/>
      <c r="E550" s="333"/>
      <c r="F550" s="257"/>
    </row>
    <row r="551" spans="3:6" s="253" customFormat="1" ht="15">
      <c r="C551" s="334"/>
      <c r="D551" s="334"/>
      <c r="E551" s="333"/>
      <c r="F551" s="257"/>
    </row>
    <row r="552" spans="3:6" s="253" customFormat="1" ht="15">
      <c r="C552" s="334"/>
      <c r="D552" s="334"/>
      <c r="E552" s="333"/>
      <c r="F552" s="257"/>
    </row>
    <row r="553" spans="3:6" s="253" customFormat="1" ht="15">
      <c r="C553" s="334"/>
      <c r="D553" s="334"/>
      <c r="E553" s="333"/>
      <c r="F553" s="257"/>
    </row>
    <row r="554" spans="3:6" s="253" customFormat="1" ht="15">
      <c r="C554" s="334"/>
      <c r="D554" s="334"/>
      <c r="E554" s="333"/>
      <c r="F554" s="257"/>
    </row>
    <row r="555" spans="3:6" s="253" customFormat="1" ht="15">
      <c r="C555" s="334"/>
      <c r="D555" s="334"/>
      <c r="E555" s="333"/>
      <c r="F555" s="257"/>
    </row>
    <row r="556" spans="3:6" s="253" customFormat="1" ht="15">
      <c r="C556" s="334"/>
      <c r="D556" s="334"/>
      <c r="E556" s="333"/>
      <c r="F556" s="257"/>
    </row>
    <row r="557" spans="3:6" s="253" customFormat="1" ht="15">
      <c r="C557" s="334"/>
      <c r="D557" s="334"/>
      <c r="E557" s="333"/>
      <c r="F557" s="257"/>
    </row>
    <row r="558" spans="3:6" s="253" customFormat="1" ht="15">
      <c r="C558" s="334"/>
      <c r="D558" s="334"/>
      <c r="E558" s="333"/>
      <c r="F558" s="257"/>
    </row>
    <row r="559" spans="3:6" s="253" customFormat="1" ht="15">
      <c r="C559" s="334"/>
      <c r="D559" s="334"/>
      <c r="E559" s="333"/>
      <c r="F559" s="257"/>
    </row>
    <row r="560" spans="3:6" s="253" customFormat="1" ht="15">
      <c r="C560" s="334"/>
      <c r="D560" s="334"/>
      <c r="E560" s="333"/>
      <c r="F560" s="257"/>
    </row>
    <row r="561" spans="3:6" s="253" customFormat="1" ht="15">
      <c r="C561" s="334"/>
      <c r="D561" s="334"/>
      <c r="E561" s="333"/>
      <c r="F561" s="257"/>
    </row>
    <row r="562" spans="3:6" s="253" customFormat="1" ht="15">
      <c r="C562" s="334"/>
      <c r="D562" s="334"/>
      <c r="E562" s="333"/>
      <c r="F562" s="257"/>
    </row>
    <row r="563" spans="3:6" s="253" customFormat="1" ht="15">
      <c r="C563" s="334"/>
      <c r="D563" s="334"/>
      <c r="E563" s="333"/>
      <c r="F563" s="257"/>
    </row>
    <row r="564" spans="3:6" s="253" customFormat="1" ht="15">
      <c r="C564" s="334"/>
      <c r="D564" s="334"/>
      <c r="E564" s="333"/>
      <c r="F564" s="257"/>
    </row>
    <row r="565" spans="3:6" s="253" customFormat="1" ht="15">
      <c r="C565" s="334"/>
      <c r="D565" s="334"/>
      <c r="E565" s="333"/>
      <c r="F565" s="257"/>
    </row>
    <row r="566" spans="3:6" s="253" customFormat="1" ht="15">
      <c r="C566" s="334"/>
      <c r="D566" s="334"/>
      <c r="E566" s="333"/>
      <c r="F566" s="257"/>
    </row>
    <row r="567" spans="3:6" s="253" customFormat="1" ht="15">
      <c r="C567" s="334"/>
      <c r="D567" s="334"/>
      <c r="E567" s="333"/>
      <c r="F567" s="257"/>
    </row>
    <row r="568" spans="3:6" s="253" customFormat="1" ht="15">
      <c r="C568" s="334"/>
      <c r="D568" s="334"/>
      <c r="E568" s="333"/>
      <c r="F568" s="257"/>
    </row>
    <row r="569" spans="3:6" s="253" customFormat="1" ht="15">
      <c r="C569" s="334"/>
      <c r="D569" s="334"/>
      <c r="E569" s="333"/>
      <c r="F569" s="257"/>
    </row>
    <row r="570" spans="3:6" s="253" customFormat="1" ht="15">
      <c r="C570" s="334"/>
      <c r="D570" s="334"/>
      <c r="E570" s="333"/>
      <c r="F570" s="257"/>
    </row>
    <row r="571" spans="3:6" s="253" customFormat="1" ht="15">
      <c r="C571" s="334"/>
      <c r="D571" s="334"/>
      <c r="E571" s="333"/>
      <c r="F571" s="257"/>
    </row>
    <row r="572" spans="3:6" s="253" customFormat="1" ht="15">
      <c r="C572" s="334"/>
      <c r="D572" s="334"/>
      <c r="E572" s="333"/>
      <c r="F572" s="257"/>
    </row>
    <row r="573" spans="3:6" s="253" customFormat="1" ht="15">
      <c r="C573" s="334"/>
      <c r="D573" s="334"/>
      <c r="E573" s="333"/>
      <c r="F573" s="257"/>
    </row>
    <row r="574" spans="3:6" s="253" customFormat="1" ht="15">
      <c r="C574" s="334"/>
      <c r="D574" s="334"/>
      <c r="E574" s="333"/>
      <c r="F574" s="257"/>
    </row>
    <row r="575" spans="3:6" s="253" customFormat="1" ht="15">
      <c r="C575" s="334"/>
      <c r="D575" s="334"/>
      <c r="E575" s="333"/>
      <c r="F575" s="257"/>
    </row>
    <row r="576" spans="3:6" s="253" customFormat="1" ht="15">
      <c r="C576" s="334"/>
      <c r="D576" s="334"/>
      <c r="E576" s="333"/>
      <c r="F576" s="257"/>
    </row>
    <row r="577" spans="3:6" s="253" customFormat="1" ht="15">
      <c r="C577" s="334"/>
      <c r="D577" s="334"/>
      <c r="E577" s="333"/>
      <c r="F577" s="257"/>
    </row>
    <row r="578" spans="3:6" s="253" customFormat="1" ht="15">
      <c r="C578" s="334"/>
      <c r="D578" s="334"/>
      <c r="E578" s="333"/>
      <c r="F578" s="257"/>
    </row>
    <row r="579" spans="3:6" s="253" customFormat="1" ht="15">
      <c r="C579" s="334"/>
      <c r="D579" s="334"/>
      <c r="E579" s="333"/>
      <c r="F579" s="257"/>
    </row>
  </sheetData>
  <sheetProtection/>
  <mergeCells count="57">
    <mergeCell ref="A391:F391"/>
    <mergeCell ref="C409:C410"/>
    <mergeCell ref="D409:D410"/>
    <mergeCell ref="E409:E410"/>
    <mergeCell ref="H408:J408"/>
    <mergeCell ref="H409:H410"/>
    <mergeCell ref="I409:I410"/>
    <mergeCell ref="J409:J410"/>
    <mergeCell ref="G408:G410"/>
    <mergeCell ref="F409:F410"/>
    <mergeCell ref="N407:P407"/>
    <mergeCell ref="H407:J407"/>
    <mergeCell ref="N408:P408"/>
    <mergeCell ref="N409:N410"/>
    <mergeCell ref="O409:O410"/>
    <mergeCell ref="P409:P410"/>
    <mergeCell ref="M408:M410"/>
    <mergeCell ref="A288:E288"/>
    <mergeCell ref="A388:F388"/>
    <mergeCell ref="A408:A410"/>
    <mergeCell ref="A51:E51"/>
    <mergeCell ref="A266:E266"/>
    <mergeCell ref="B408:B410"/>
    <mergeCell ref="A395:F395"/>
    <mergeCell ref="C408:F408"/>
    <mergeCell ref="A385:F385"/>
    <mergeCell ref="A355:F355"/>
    <mergeCell ref="A332:E332"/>
    <mergeCell ref="A381:F381"/>
    <mergeCell ref="A185:E185"/>
    <mergeCell ref="A208:E208"/>
    <mergeCell ref="A8:E8"/>
    <mergeCell ref="A57:E57"/>
    <mergeCell ref="A361:F361"/>
    <mergeCell ref="A369:F369"/>
    <mergeCell ref="A378:F378"/>
    <mergeCell ref="A229:E229"/>
    <mergeCell ref="A365:F365"/>
    <mergeCell ref="C4:E4"/>
    <mergeCell ref="A247:E247"/>
    <mergeCell ref="A308:E308"/>
    <mergeCell ref="A9:A12"/>
    <mergeCell ref="C10:F10"/>
    <mergeCell ref="A72:F72"/>
    <mergeCell ref="A68:E68"/>
    <mergeCell ref="A49:E49"/>
    <mergeCell ref="A13:F13"/>
    <mergeCell ref="B9:F9"/>
    <mergeCell ref="A101:F101"/>
    <mergeCell ref="A147:F147"/>
    <mergeCell ref="B10:B11"/>
    <mergeCell ref="A358:F358"/>
    <mergeCell ref="D1:F1"/>
    <mergeCell ref="D2:F2"/>
    <mergeCell ref="D3:F3"/>
    <mergeCell ref="A5:F5"/>
    <mergeCell ref="A7:F7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03" customWidth="1"/>
    <col min="2" max="2" width="20.57421875" style="403" customWidth="1"/>
    <col min="3" max="3" width="20.00390625" style="403" customWidth="1"/>
    <col min="4" max="4" width="13.8515625" style="403" customWidth="1"/>
    <col min="5" max="16384" width="9.140625" style="403" customWidth="1"/>
  </cols>
  <sheetData>
    <row r="1" ht="25.5" customHeight="1">
      <c r="D1" s="403" t="s">
        <v>386</v>
      </c>
    </row>
    <row r="2" spans="1:4" ht="27.75" customHeight="1">
      <c r="A2" s="780" t="s">
        <v>295</v>
      </c>
      <c r="B2" s="780"/>
      <c r="C2" s="780"/>
      <c r="D2" s="780"/>
    </row>
    <row r="3" spans="1:4" ht="93.75" customHeight="1">
      <c r="A3" s="779" t="s">
        <v>299</v>
      </c>
      <c r="B3" s="779"/>
      <c r="C3" s="779"/>
      <c r="D3" s="779"/>
    </row>
    <row r="4" spans="1:2" ht="12.75">
      <c r="A4" s="404"/>
      <c r="B4" s="410" t="s">
        <v>297</v>
      </c>
    </row>
    <row r="5" spans="1:2" ht="12.75">
      <c r="A5" s="404"/>
      <c r="B5" s="410"/>
    </row>
    <row r="6" spans="1:4" ht="27.75" customHeight="1">
      <c r="A6" s="778" t="s">
        <v>296</v>
      </c>
      <c r="B6" s="781" t="s">
        <v>300</v>
      </c>
      <c r="C6" s="782"/>
      <c r="D6" s="783"/>
    </row>
    <row r="7" spans="1:4" ht="29.25" customHeight="1">
      <c r="A7" s="778"/>
      <c r="B7" s="409"/>
      <c r="C7" s="409"/>
      <c r="D7" s="784" t="s">
        <v>7</v>
      </c>
    </row>
    <row r="8" spans="1:4" ht="42.75" customHeight="1">
      <c r="A8" s="778"/>
      <c r="B8" s="409"/>
      <c r="C8" s="409"/>
      <c r="D8" s="785"/>
    </row>
    <row r="9" spans="1:4" ht="24" customHeight="1">
      <c r="A9" s="405" t="s">
        <v>41</v>
      </c>
      <c r="B9" s="406"/>
      <c r="C9" s="406"/>
      <c r="D9" s="411">
        <f>SUM(B9:C9)</f>
        <v>0</v>
      </c>
    </row>
    <row r="10" spans="1:4" ht="24" customHeight="1">
      <c r="A10" s="405" t="s">
        <v>54</v>
      </c>
      <c r="B10" s="406"/>
      <c r="C10" s="406"/>
      <c r="D10" s="411">
        <f>SUM(B10:C10)</f>
        <v>0</v>
      </c>
    </row>
    <row r="11" spans="1:4" ht="24" customHeight="1">
      <c r="A11" s="405" t="s">
        <v>219</v>
      </c>
      <c r="B11" s="406"/>
      <c r="C11" s="406"/>
      <c r="D11" s="411">
        <f>SUM(B11:C11)</f>
        <v>0</v>
      </c>
    </row>
    <row r="12" spans="1:4" ht="24" customHeight="1">
      <c r="A12" s="407" t="s">
        <v>298</v>
      </c>
      <c r="B12" s="408">
        <f>SUM(B9:B11)</f>
        <v>0</v>
      </c>
      <c r="C12" s="408">
        <f>SUM(C9:C11)</f>
        <v>0</v>
      </c>
      <c r="D12" s="408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tabSelected="1" view="pageBreakPreview" zoomScale="80" zoomScaleSheetLayoutView="80" zoomScalePageLayoutView="0" workbookViewId="0" topLeftCell="A1">
      <pane xSplit="1" ySplit="9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14" sqref="N14"/>
    </sheetView>
  </sheetViews>
  <sheetFormatPr defaultColWidth="9.140625" defaultRowHeight="12.75"/>
  <cols>
    <col min="1" max="1" width="40.7109375" style="276" customWidth="1"/>
    <col min="2" max="2" width="19.8515625" style="276" customWidth="1"/>
    <col min="3" max="3" width="18.57421875" style="276" customWidth="1"/>
    <col min="4" max="4" width="18.7109375" style="276" customWidth="1"/>
    <col min="5" max="5" width="19.140625" style="281" customWidth="1"/>
    <col min="6" max="6" width="17.421875" style="276" customWidth="1"/>
    <col min="7" max="7" width="17.00390625" style="276" customWidth="1"/>
    <col min="8" max="8" width="14.28125" style="276" customWidth="1"/>
    <col min="9" max="9" width="13.28125" style="276" customWidth="1"/>
    <col min="10" max="16384" width="9.140625" style="276" customWidth="1"/>
  </cols>
  <sheetData>
    <row r="1" spans="4:9" ht="21" customHeight="1">
      <c r="D1" s="277"/>
      <c r="E1" s="277"/>
      <c r="G1" s="278"/>
      <c r="H1" s="278"/>
      <c r="I1" s="276" t="s">
        <v>387</v>
      </c>
    </row>
    <row r="2" spans="4:8" ht="21" customHeight="1">
      <c r="D2" s="277"/>
      <c r="E2" s="277"/>
      <c r="G2" s="278"/>
      <c r="H2" s="278"/>
    </row>
    <row r="3" spans="1:9" ht="31.5" customHeight="1">
      <c r="A3" s="713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</row>
    <row r="4" spans="1:9" ht="21.75" customHeight="1">
      <c r="A4" s="714" t="s">
        <v>392</v>
      </c>
      <c r="B4" s="714"/>
      <c r="C4" s="714"/>
      <c r="D4" s="714"/>
      <c r="E4" s="714"/>
      <c r="F4" s="714"/>
      <c r="G4" s="714"/>
      <c r="H4" s="714"/>
      <c r="I4" s="714"/>
    </row>
    <row r="5" spans="2:8" ht="15.75">
      <c r="B5" s="293"/>
      <c r="C5" s="293"/>
      <c r="D5" s="293"/>
      <c r="E5" s="293"/>
      <c r="F5" s="293"/>
      <c r="G5" s="293"/>
      <c r="H5" s="293"/>
    </row>
    <row r="6" spans="1:9" ht="15.75">
      <c r="A6" s="711" t="s">
        <v>205</v>
      </c>
      <c r="B6" s="716" t="s">
        <v>247</v>
      </c>
      <c r="C6" s="710" t="s">
        <v>206</v>
      </c>
      <c r="D6" s="710"/>
      <c r="E6" s="710"/>
      <c r="F6" s="364"/>
      <c r="G6" s="716" t="s">
        <v>248</v>
      </c>
      <c r="H6" s="710" t="s">
        <v>206</v>
      </c>
      <c r="I6" s="710"/>
    </row>
    <row r="7" spans="1:9" ht="15.75">
      <c r="A7" s="715"/>
      <c r="B7" s="717"/>
      <c r="C7" s="711" t="s">
        <v>220</v>
      </c>
      <c r="D7" s="711" t="s">
        <v>261</v>
      </c>
      <c r="E7" s="711" t="s">
        <v>207</v>
      </c>
      <c r="F7" s="364" t="s">
        <v>206</v>
      </c>
      <c r="G7" s="717"/>
      <c r="H7" s="711" t="s">
        <v>208</v>
      </c>
      <c r="I7" s="711" t="s">
        <v>209</v>
      </c>
    </row>
    <row r="8" spans="1:9" ht="82.5" customHeight="1">
      <c r="A8" s="712"/>
      <c r="B8" s="718"/>
      <c r="C8" s="712"/>
      <c r="D8" s="712"/>
      <c r="E8" s="712"/>
      <c r="F8" s="364" t="s">
        <v>249</v>
      </c>
      <c r="G8" s="718"/>
      <c r="H8" s="712"/>
      <c r="I8" s="712"/>
    </row>
    <row r="9" spans="1:9" ht="15.75">
      <c r="A9" s="365">
        <v>1</v>
      </c>
      <c r="B9" s="365">
        <v>2</v>
      </c>
      <c r="C9" s="365">
        <v>3</v>
      </c>
      <c r="D9" s="365">
        <v>4</v>
      </c>
      <c r="E9" s="365">
        <v>5</v>
      </c>
      <c r="F9" s="364">
        <v>6</v>
      </c>
      <c r="G9" s="365">
        <v>7</v>
      </c>
      <c r="H9" s="365">
        <v>8</v>
      </c>
      <c r="I9" s="365">
        <v>9</v>
      </c>
    </row>
    <row r="10" spans="1:9" ht="47.25">
      <c r="A10" s="624" t="s">
        <v>509</v>
      </c>
      <c r="B10" s="372">
        <f>SUM(C10:E10)</f>
        <v>168</v>
      </c>
      <c r="C10" s="518">
        <f>'1. АМП'!C93</f>
        <v>106</v>
      </c>
      <c r="D10" s="518">
        <f>'1. АМП'!C94</f>
        <v>62</v>
      </c>
      <c r="E10" s="518">
        <v>0</v>
      </c>
      <c r="F10" s="519">
        <v>0</v>
      </c>
      <c r="G10" s="372">
        <f aca="true" t="shared" si="0" ref="G10:G22">SUM(H10:I10)</f>
        <v>10364</v>
      </c>
      <c r="H10" s="513">
        <f>'1. АМП'!C95</f>
        <v>10364</v>
      </c>
      <c r="I10" s="513">
        <v>0</v>
      </c>
    </row>
    <row r="11" spans="1:9" ht="33" customHeight="1">
      <c r="A11" s="624" t="s">
        <v>510</v>
      </c>
      <c r="B11" s="372">
        <f>SUM(C11:E11)</f>
        <v>66</v>
      </c>
      <c r="C11" s="518">
        <f>134-C10</f>
        <v>28</v>
      </c>
      <c r="D11" s="518">
        <f>100-D10</f>
        <v>38</v>
      </c>
      <c r="E11" s="518">
        <v>0</v>
      </c>
      <c r="F11" s="519">
        <v>0</v>
      </c>
      <c r="G11" s="372">
        <f t="shared" si="0"/>
        <v>8141</v>
      </c>
      <c r="H11" s="513">
        <f>18505-H10</f>
        <v>8141</v>
      </c>
      <c r="I11" s="513"/>
    </row>
    <row r="12" spans="1:10" ht="25.5" customHeight="1">
      <c r="A12" s="367" t="s">
        <v>250</v>
      </c>
      <c r="B12" s="372">
        <f aca="true" t="shared" si="1" ref="B12:B22">SUM(C12:E12)</f>
        <v>30253</v>
      </c>
      <c r="C12" s="518">
        <v>0</v>
      </c>
      <c r="D12" s="518">
        <v>0</v>
      </c>
      <c r="E12" s="518">
        <v>30253</v>
      </c>
      <c r="F12" s="519">
        <v>2074</v>
      </c>
      <c r="G12" s="372">
        <f t="shared" si="0"/>
        <v>6651</v>
      </c>
      <c r="H12" s="513">
        <v>0</v>
      </c>
      <c r="I12" s="513">
        <v>6651</v>
      </c>
      <c r="J12" s="293">
        <f>G12+B12</f>
        <v>36904</v>
      </c>
    </row>
    <row r="13" spans="1:12" ht="31.5">
      <c r="A13" s="368" t="s">
        <v>251</v>
      </c>
      <c r="B13" s="373">
        <f>SUM(B15:B22)</f>
        <v>14088</v>
      </c>
      <c r="C13" s="520">
        <f>SUM(C15:C22)</f>
        <v>116</v>
      </c>
      <c r="D13" s="520">
        <f aca="true" t="shared" si="2" ref="D13:I13">SUM(D15:D22)</f>
        <v>184</v>
      </c>
      <c r="E13" s="520">
        <f t="shared" si="2"/>
        <v>13788</v>
      </c>
      <c r="F13" s="521">
        <f t="shared" si="2"/>
        <v>946</v>
      </c>
      <c r="G13" s="373">
        <f t="shared" si="2"/>
        <v>10566</v>
      </c>
      <c r="H13" s="369">
        <f t="shared" si="2"/>
        <v>7534</v>
      </c>
      <c r="I13" s="369">
        <f t="shared" si="2"/>
        <v>3032</v>
      </c>
      <c r="J13" s="293"/>
      <c r="L13" s="293"/>
    </row>
    <row r="14" spans="1:9" ht="24" customHeight="1">
      <c r="A14" s="375" t="s">
        <v>252</v>
      </c>
      <c r="B14" s="376"/>
      <c r="C14" s="377"/>
      <c r="D14" s="377"/>
      <c r="E14" s="377"/>
      <c r="F14" s="378"/>
      <c r="G14" s="376"/>
      <c r="H14" s="377"/>
      <c r="I14" s="379"/>
    </row>
    <row r="15" spans="1:9" ht="31.5">
      <c r="A15" s="370" t="s">
        <v>253</v>
      </c>
      <c r="B15" s="374">
        <f>SUM(C15:E15)</f>
        <v>2752</v>
      </c>
      <c r="C15" s="513">
        <v>116</v>
      </c>
      <c r="D15" s="513">
        <v>24</v>
      </c>
      <c r="E15" s="513">
        <v>2612</v>
      </c>
      <c r="F15" s="522">
        <v>179</v>
      </c>
      <c r="G15" s="374">
        <f t="shared" si="0"/>
        <v>2022</v>
      </c>
      <c r="H15" s="513">
        <v>1448</v>
      </c>
      <c r="I15" s="513">
        <v>574</v>
      </c>
    </row>
    <row r="16" spans="1:9" ht="30" customHeight="1">
      <c r="A16" s="371" t="s">
        <v>254</v>
      </c>
      <c r="B16" s="372">
        <f t="shared" si="1"/>
        <v>1499</v>
      </c>
      <c r="C16" s="513">
        <v>0</v>
      </c>
      <c r="D16" s="513">
        <v>22</v>
      </c>
      <c r="E16" s="513">
        <v>1477</v>
      </c>
      <c r="F16" s="522">
        <v>101</v>
      </c>
      <c r="G16" s="372">
        <f t="shared" si="0"/>
        <v>1151</v>
      </c>
      <c r="H16" s="513">
        <v>826</v>
      </c>
      <c r="I16" s="513">
        <v>325</v>
      </c>
    </row>
    <row r="17" spans="1:9" ht="31.5" customHeight="1">
      <c r="A17" s="371" t="s">
        <v>255</v>
      </c>
      <c r="B17" s="372">
        <f t="shared" si="1"/>
        <v>806</v>
      </c>
      <c r="C17" s="513">
        <v>0</v>
      </c>
      <c r="D17" s="513">
        <v>20</v>
      </c>
      <c r="E17" s="513">
        <v>786</v>
      </c>
      <c r="F17" s="522">
        <v>54</v>
      </c>
      <c r="G17" s="372">
        <f t="shared" si="0"/>
        <v>554</v>
      </c>
      <c r="H17" s="513">
        <v>381</v>
      </c>
      <c r="I17" s="513">
        <v>173</v>
      </c>
    </row>
    <row r="18" spans="1:9" ht="31.5">
      <c r="A18" s="371" t="s">
        <v>256</v>
      </c>
      <c r="B18" s="372">
        <f t="shared" si="1"/>
        <v>2350</v>
      </c>
      <c r="C18" s="513">
        <v>0</v>
      </c>
      <c r="D18" s="513">
        <v>19</v>
      </c>
      <c r="E18" s="513">
        <v>2331</v>
      </c>
      <c r="F18" s="522">
        <v>160</v>
      </c>
      <c r="G18" s="372">
        <f t="shared" si="0"/>
        <v>1801</v>
      </c>
      <c r="H18" s="513">
        <v>1289</v>
      </c>
      <c r="I18" s="513">
        <v>512</v>
      </c>
    </row>
    <row r="19" spans="1:9" ht="37.5" customHeight="1">
      <c r="A19" s="371" t="s">
        <v>257</v>
      </c>
      <c r="B19" s="372">
        <f t="shared" si="1"/>
        <v>638</v>
      </c>
      <c r="C19" s="513">
        <v>0</v>
      </c>
      <c r="D19" s="513">
        <v>26</v>
      </c>
      <c r="E19" s="513">
        <v>612</v>
      </c>
      <c r="F19" s="522">
        <v>42</v>
      </c>
      <c r="G19" s="372">
        <f t="shared" si="0"/>
        <v>553</v>
      </c>
      <c r="H19" s="513">
        <v>418</v>
      </c>
      <c r="I19" s="513">
        <v>135</v>
      </c>
    </row>
    <row r="20" spans="1:9" ht="31.5">
      <c r="A20" s="371" t="s">
        <v>258</v>
      </c>
      <c r="B20" s="372">
        <f t="shared" si="1"/>
        <v>1195</v>
      </c>
      <c r="C20" s="513">
        <v>0</v>
      </c>
      <c r="D20" s="513">
        <v>19</v>
      </c>
      <c r="E20" s="513">
        <v>1176</v>
      </c>
      <c r="F20" s="522">
        <v>81</v>
      </c>
      <c r="G20" s="372">
        <f t="shared" si="0"/>
        <v>856</v>
      </c>
      <c r="H20" s="513">
        <v>597</v>
      </c>
      <c r="I20" s="513">
        <v>259</v>
      </c>
    </row>
    <row r="21" spans="1:9" ht="31.5">
      <c r="A21" s="371" t="s">
        <v>259</v>
      </c>
      <c r="B21" s="372">
        <f t="shared" si="1"/>
        <v>2176</v>
      </c>
      <c r="C21" s="513">
        <v>0</v>
      </c>
      <c r="D21" s="513">
        <v>32</v>
      </c>
      <c r="E21" s="513">
        <v>2144</v>
      </c>
      <c r="F21" s="522">
        <v>147</v>
      </c>
      <c r="G21" s="372">
        <f t="shared" si="0"/>
        <v>1639</v>
      </c>
      <c r="H21" s="513">
        <v>1168</v>
      </c>
      <c r="I21" s="513">
        <v>471</v>
      </c>
    </row>
    <row r="22" spans="1:9" ht="33" customHeight="1">
      <c r="A22" s="371" t="s">
        <v>260</v>
      </c>
      <c r="B22" s="372">
        <f t="shared" si="1"/>
        <v>2672</v>
      </c>
      <c r="C22" s="513">
        <v>0</v>
      </c>
      <c r="D22" s="513">
        <v>22</v>
      </c>
      <c r="E22" s="513">
        <v>2650</v>
      </c>
      <c r="F22" s="522">
        <v>182</v>
      </c>
      <c r="G22" s="372">
        <f t="shared" si="0"/>
        <v>1990</v>
      </c>
      <c r="H22" s="513">
        <v>1407</v>
      </c>
      <c r="I22" s="513">
        <v>583</v>
      </c>
    </row>
    <row r="23" spans="1:9" ht="20.25" customHeight="1">
      <c r="A23" s="280" t="s">
        <v>32</v>
      </c>
      <c r="B23" s="372">
        <f>B10+B12+B13</f>
        <v>44509</v>
      </c>
      <c r="C23" s="279">
        <f>C10+C12+C13+C11</f>
        <v>250</v>
      </c>
      <c r="D23" s="279">
        <f aca="true" t="shared" si="3" ref="D23:I23">D10+D12+D13+D11</f>
        <v>284</v>
      </c>
      <c r="E23" s="279">
        <f t="shared" si="3"/>
        <v>44041</v>
      </c>
      <c r="F23" s="366">
        <f t="shared" si="3"/>
        <v>3020</v>
      </c>
      <c r="G23" s="372">
        <f t="shared" si="3"/>
        <v>35722</v>
      </c>
      <c r="H23" s="279">
        <f t="shared" si="3"/>
        <v>26039</v>
      </c>
      <c r="I23" s="279">
        <f t="shared" si="3"/>
        <v>9683</v>
      </c>
    </row>
    <row r="25" spans="3:9" ht="15.75">
      <c r="C25" s="505">
        <v>9.44</v>
      </c>
      <c r="E25" s="281">
        <v>1.54</v>
      </c>
      <c r="H25" s="276">
        <v>3.78</v>
      </c>
      <c r="I25" s="276">
        <v>1.34</v>
      </c>
    </row>
    <row r="26" spans="2:9" ht="15.75">
      <c r="B26" s="504">
        <f>SUM(C26:E26)-3</f>
        <v>72861</v>
      </c>
      <c r="C26" s="504">
        <f>ROUND((C23+D23)*C25,0)</f>
        <v>5041</v>
      </c>
      <c r="E26" s="504">
        <f>ROUND(E23*E25,0)</f>
        <v>67823</v>
      </c>
      <c r="G26" s="504">
        <f>SUM(H26:I26)</f>
        <v>111402</v>
      </c>
      <c r="H26" s="504">
        <f>ROUND(H23*H25,0)</f>
        <v>98427</v>
      </c>
      <c r="I26" s="504">
        <f>ROUND(I23*I25,0)</f>
        <v>12975</v>
      </c>
    </row>
    <row r="27" spans="2:7" ht="15.75">
      <c r="B27" s="507">
        <f>B26/B23</f>
        <v>1.636994765103687</v>
      </c>
      <c r="G27" s="507">
        <f>G26/G23</f>
        <v>3.11858238620458</v>
      </c>
    </row>
    <row r="28" spans="2:9" ht="15.75">
      <c r="B28" s="293"/>
      <c r="C28" s="293"/>
      <c r="D28" s="293"/>
      <c r="E28" s="293"/>
      <c r="F28" s="293"/>
      <c r="G28" s="293"/>
      <c r="H28" s="293"/>
      <c r="I28" s="293"/>
    </row>
    <row r="29" spans="2:9" ht="15.75">
      <c r="B29" s="293"/>
      <c r="C29" s="293"/>
      <c r="D29" s="293"/>
      <c r="E29" s="293"/>
      <c r="F29" s="293"/>
      <c r="G29" s="293"/>
      <c r="H29" s="293"/>
      <c r="I29" s="293"/>
    </row>
    <row r="30" spans="2:9" ht="15.75">
      <c r="B30" s="293"/>
      <c r="C30" s="293"/>
      <c r="D30" s="293"/>
      <c r="E30" s="293"/>
      <c r="F30" s="293"/>
      <c r="G30" s="293"/>
      <c r="H30" s="293"/>
      <c r="I30" s="293"/>
    </row>
  </sheetData>
  <sheetProtection/>
  <mergeCells count="12"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  <mergeCell ref="H7:H8"/>
    <mergeCell ref="I7:I8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1">
      <selection activeCell="B7" sqref="B7:B8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1" t="s">
        <v>388</v>
      </c>
      <c r="Q1" s="221"/>
    </row>
    <row r="2" spans="16:17" ht="15.75">
      <c r="P2" s="447"/>
      <c r="Q2" s="447"/>
    </row>
    <row r="3" spans="1:16" ht="42" customHeight="1">
      <c r="A3" s="661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661"/>
      <c r="M3" s="661"/>
      <c r="N3" s="661"/>
      <c r="O3" s="661"/>
      <c r="P3" s="661"/>
    </row>
    <row r="5" spans="1:16" ht="14.25">
      <c r="A5" s="721" t="s">
        <v>391</v>
      </c>
      <c r="B5" s="721"/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</row>
    <row r="6" ht="13.5" thickBot="1"/>
    <row r="7" spans="1:16" ht="15" customHeight="1">
      <c r="A7" s="722" t="s">
        <v>373</v>
      </c>
      <c r="B7" s="724" t="s">
        <v>511</v>
      </c>
      <c r="C7" s="724" t="s">
        <v>384</v>
      </c>
      <c r="D7" s="724" t="s">
        <v>219</v>
      </c>
      <c r="E7" s="724" t="s">
        <v>385</v>
      </c>
      <c r="F7" s="726" t="s">
        <v>206</v>
      </c>
      <c r="G7" s="727"/>
      <c r="H7" s="727"/>
      <c r="I7" s="727"/>
      <c r="J7" s="727"/>
      <c r="K7" s="727"/>
      <c r="L7" s="727"/>
      <c r="M7" s="727"/>
      <c r="N7" s="727"/>
      <c r="O7" s="728"/>
      <c r="P7" s="719" t="s">
        <v>383</v>
      </c>
    </row>
    <row r="8" spans="1:16" ht="68.25" customHeight="1" thickBot="1">
      <c r="A8" s="723"/>
      <c r="B8" s="725"/>
      <c r="C8" s="725"/>
      <c r="D8" s="725"/>
      <c r="E8" s="725"/>
      <c r="F8" s="473" t="s">
        <v>374</v>
      </c>
      <c r="G8" s="473" t="s">
        <v>406</v>
      </c>
      <c r="H8" s="473" t="s">
        <v>375</v>
      </c>
      <c r="I8" s="473" t="s">
        <v>376</v>
      </c>
      <c r="J8" s="473" t="s">
        <v>377</v>
      </c>
      <c r="K8" s="473" t="s">
        <v>378</v>
      </c>
      <c r="L8" s="473" t="s">
        <v>379</v>
      </c>
      <c r="M8" s="473" t="s">
        <v>380</v>
      </c>
      <c r="N8" s="473" t="s">
        <v>381</v>
      </c>
      <c r="O8" s="473" t="s">
        <v>382</v>
      </c>
      <c r="P8" s="720"/>
    </row>
    <row r="9" spans="1:18" ht="18.75" customHeight="1">
      <c r="A9" s="471" t="s">
        <v>68</v>
      </c>
      <c r="B9" s="585">
        <v>1331</v>
      </c>
      <c r="C9" s="585">
        <v>0</v>
      </c>
      <c r="D9" s="586">
        <v>0</v>
      </c>
      <c r="E9" s="585">
        <f>SUM(F9:O9)</f>
        <v>775</v>
      </c>
      <c r="F9" s="474">
        <v>103</v>
      </c>
      <c r="G9" s="474"/>
      <c r="H9" s="474">
        <v>87</v>
      </c>
      <c r="I9" s="474">
        <v>100</v>
      </c>
      <c r="J9" s="474">
        <v>85</v>
      </c>
      <c r="K9" s="474">
        <v>60</v>
      </c>
      <c r="L9" s="474">
        <v>120</v>
      </c>
      <c r="M9" s="474">
        <v>80</v>
      </c>
      <c r="N9" s="474">
        <v>50</v>
      </c>
      <c r="O9" s="474">
        <v>90</v>
      </c>
      <c r="P9" s="468">
        <f>B9+C9+D9+E9</f>
        <v>2106</v>
      </c>
      <c r="R9" s="6"/>
    </row>
    <row r="10" spans="1:18" ht="18.75" customHeight="1">
      <c r="A10" s="462" t="s">
        <v>13</v>
      </c>
      <c r="B10" s="587">
        <v>0</v>
      </c>
      <c r="C10" s="587">
        <v>0</v>
      </c>
      <c r="D10" s="588">
        <v>0</v>
      </c>
      <c r="E10" s="587">
        <f aca="true" t="shared" si="0" ref="E10:E21">SUM(F10:O10)</f>
        <v>986</v>
      </c>
      <c r="F10" s="475">
        <v>0</v>
      </c>
      <c r="G10" s="475">
        <v>663</v>
      </c>
      <c r="H10" s="475">
        <v>86</v>
      </c>
      <c r="I10" s="475">
        <v>86</v>
      </c>
      <c r="J10" s="475">
        <v>0</v>
      </c>
      <c r="K10" s="475">
        <v>0</v>
      </c>
      <c r="L10" s="475">
        <v>0</v>
      </c>
      <c r="M10" s="475">
        <v>0</v>
      </c>
      <c r="N10" s="475">
        <v>86</v>
      </c>
      <c r="O10" s="475">
        <v>65</v>
      </c>
      <c r="P10" s="469">
        <f aca="true" t="shared" si="1" ref="P10:P21">B10+C10+D10+E10</f>
        <v>986</v>
      </c>
      <c r="R10" s="6"/>
    </row>
    <row r="11" spans="1:18" ht="18.75" customHeight="1">
      <c r="A11" s="471" t="s">
        <v>78</v>
      </c>
      <c r="B11" s="587">
        <v>0</v>
      </c>
      <c r="C11" s="587">
        <v>0</v>
      </c>
      <c r="D11" s="588">
        <v>414</v>
      </c>
      <c r="E11" s="587">
        <f t="shared" si="0"/>
        <v>255</v>
      </c>
      <c r="F11" s="475">
        <v>0</v>
      </c>
      <c r="G11" s="475"/>
      <c r="H11" s="475">
        <v>0</v>
      </c>
      <c r="I11" s="475">
        <v>0</v>
      </c>
      <c r="J11" s="475">
        <v>0</v>
      </c>
      <c r="K11" s="475">
        <v>0</v>
      </c>
      <c r="L11" s="475">
        <v>0</v>
      </c>
      <c r="M11" s="475">
        <v>0</v>
      </c>
      <c r="N11" s="475">
        <v>133</v>
      </c>
      <c r="O11" s="475">
        <v>122</v>
      </c>
      <c r="P11" s="469">
        <f t="shared" si="1"/>
        <v>669</v>
      </c>
      <c r="R11" s="6"/>
    </row>
    <row r="12" spans="1:18" ht="18.75" customHeight="1">
      <c r="A12" s="462" t="s">
        <v>64</v>
      </c>
      <c r="B12" s="587">
        <v>0</v>
      </c>
      <c r="C12" s="587">
        <v>0</v>
      </c>
      <c r="D12" s="588">
        <v>288</v>
      </c>
      <c r="E12" s="587">
        <f t="shared" si="0"/>
        <v>99</v>
      </c>
      <c r="F12" s="475">
        <v>0</v>
      </c>
      <c r="G12" s="475"/>
      <c r="H12" s="475">
        <v>0</v>
      </c>
      <c r="I12" s="475">
        <v>0</v>
      </c>
      <c r="J12" s="475">
        <v>0</v>
      </c>
      <c r="K12" s="475">
        <v>0</v>
      </c>
      <c r="L12" s="475">
        <v>0</v>
      </c>
      <c r="M12" s="475">
        <v>0</v>
      </c>
      <c r="N12" s="475">
        <v>99</v>
      </c>
      <c r="O12" s="475">
        <v>0</v>
      </c>
      <c r="P12" s="469">
        <f t="shared" si="1"/>
        <v>387</v>
      </c>
      <c r="R12" s="6"/>
    </row>
    <row r="13" spans="1:18" ht="18.75" customHeight="1">
      <c r="A13" s="462" t="s">
        <v>3</v>
      </c>
      <c r="B13" s="587">
        <v>0</v>
      </c>
      <c r="C13" s="587">
        <v>0</v>
      </c>
      <c r="D13" s="588">
        <v>1419</v>
      </c>
      <c r="E13" s="587">
        <f t="shared" si="0"/>
        <v>1151</v>
      </c>
      <c r="F13" s="475">
        <v>0</v>
      </c>
      <c r="G13" s="475"/>
      <c r="H13" s="475">
        <v>177</v>
      </c>
      <c r="I13" s="475">
        <v>177</v>
      </c>
      <c r="J13" s="475">
        <v>0</v>
      </c>
      <c r="K13" s="475">
        <v>0</v>
      </c>
      <c r="L13" s="475">
        <v>177</v>
      </c>
      <c r="M13" s="475">
        <v>177</v>
      </c>
      <c r="N13" s="475">
        <v>266</v>
      </c>
      <c r="O13" s="475">
        <v>177</v>
      </c>
      <c r="P13" s="469">
        <f t="shared" si="1"/>
        <v>2570</v>
      </c>
      <c r="R13" s="6"/>
    </row>
    <row r="14" spans="1:18" ht="18.75" customHeight="1">
      <c r="A14" s="462" t="s">
        <v>6</v>
      </c>
      <c r="B14" s="587">
        <v>0</v>
      </c>
      <c r="C14" s="587">
        <v>0</v>
      </c>
      <c r="D14" s="588">
        <v>0</v>
      </c>
      <c r="E14" s="587">
        <f t="shared" si="0"/>
        <v>3274</v>
      </c>
      <c r="F14" s="475">
        <v>2555</v>
      </c>
      <c r="G14" s="475"/>
      <c r="H14" s="475">
        <v>258</v>
      </c>
      <c r="I14" s="475">
        <v>65</v>
      </c>
      <c r="J14" s="475">
        <v>0</v>
      </c>
      <c r="K14" s="475">
        <v>0</v>
      </c>
      <c r="L14" s="475">
        <v>0</v>
      </c>
      <c r="M14" s="475">
        <v>0</v>
      </c>
      <c r="N14" s="475">
        <v>188</v>
      </c>
      <c r="O14" s="475">
        <v>208</v>
      </c>
      <c r="P14" s="469">
        <f t="shared" si="1"/>
        <v>3274</v>
      </c>
      <c r="R14" s="6"/>
    </row>
    <row r="15" spans="1:18" ht="18.75" customHeight="1">
      <c r="A15" s="462" t="s">
        <v>69</v>
      </c>
      <c r="B15" s="587">
        <v>0</v>
      </c>
      <c r="C15" s="587">
        <v>0</v>
      </c>
      <c r="D15" s="588">
        <v>335</v>
      </c>
      <c r="E15" s="587">
        <f t="shared" si="0"/>
        <v>228</v>
      </c>
      <c r="F15" s="475">
        <v>0</v>
      </c>
      <c r="G15" s="475"/>
      <c r="H15" s="475">
        <v>65</v>
      </c>
      <c r="I15" s="475">
        <v>0</v>
      </c>
      <c r="J15" s="475">
        <v>0</v>
      </c>
      <c r="K15" s="475">
        <v>0</v>
      </c>
      <c r="L15" s="475">
        <v>0</v>
      </c>
      <c r="M15" s="475">
        <v>0</v>
      </c>
      <c r="N15" s="475">
        <v>98</v>
      </c>
      <c r="O15" s="475">
        <v>65</v>
      </c>
      <c r="P15" s="469">
        <f t="shared" si="1"/>
        <v>563</v>
      </c>
      <c r="R15" s="6"/>
    </row>
    <row r="16" spans="1:18" ht="18.75" customHeight="1">
      <c r="A16" s="462" t="s">
        <v>2</v>
      </c>
      <c r="B16" s="587">
        <v>0</v>
      </c>
      <c r="C16" s="587">
        <v>0</v>
      </c>
      <c r="D16" s="588">
        <v>927</v>
      </c>
      <c r="E16" s="587">
        <f t="shared" si="0"/>
        <v>340</v>
      </c>
      <c r="F16" s="475">
        <v>0</v>
      </c>
      <c r="G16" s="475"/>
      <c r="H16" s="616">
        <f>140-55</f>
        <v>85</v>
      </c>
      <c r="I16" s="475">
        <v>0</v>
      </c>
      <c r="J16" s="475">
        <v>0</v>
      </c>
      <c r="K16" s="475">
        <v>0</v>
      </c>
      <c r="L16" s="475">
        <v>0</v>
      </c>
      <c r="M16" s="475">
        <v>0</v>
      </c>
      <c r="N16" s="616">
        <f>200-30</f>
        <v>170</v>
      </c>
      <c r="O16" s="616">
        <v>85</v>
      </c>
      <c r="P16" s="469">
        <f t="shared" si="1"/>
        <v>1267</v>
      </c>
      <c r="R16" s="6"/>
    </row>
    <row r="17" spans="1:18" ht="18.75" customHeight="1">
      <c r="A17" s="462" t="s">
        <v>0</v>
      </c>
      <c r="B17" s="587">
        <v>0</v>
      </c>
      <c r="C17" s="587">
        <v>0</v>
      </c>
      <c r="D17" s="587">
        <v>14299</v>
      </c>
      <c r="E17" s="587">
        <f t="shared" si="0"/>
        <v>6336</v>
      </c>
      <c r="F17" s="475">
        <v>0</v>
      </c>
      <c r="G17" s="475"/>
      <c r="H17" s="523">
        <v>1440</v>
      </c>
      <c r="I17" s="523">
        <v>576</v>
      </c>
      <c r="J17" s="523">
        <v>288</v>
      </c>
      <c r="K17" s="523">
        <v>288</v>
      </c>
      <c r="L17" s="523">
        <v>864</v>
      </c>
      <c r="M17" s="523">
        <v>576</v>
      </c>
      <c r="N17" s="523">
        <v>576</v>
      </c>
      <c r="O17" s="475">
        <v>1728</v>
      </c>
      <c r="P17" s="469">
        <f t="shared" si="1"/>
        <v>20635</v>
      </c>
      <c r="R17" s="6"/>
    </row>
    <row r="18" spans="1:18" ht="18.75" customHeight="1">
      <c r="A18" s="471" t="s">
        <v>66</v>
      </c>
      <c r="B18" s="587">
        <v>0</v>
      </c>
      <c r="C18" s="587">
        <v>0</v>
      </c>
      <c r="D18" s="587">
        <v>161</v>
      </c>
      <c r="E18" s="587">
        <f t="shared" si="0"/>
        <v>15</v>
      </c>
      <c r="F18" s="475">
        <v>0</v>
      </c>
      <c r="G18" s="475"/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75">
        <v>15</v>
      </c>
      <c r="O18" s="475">
        <v>0</v>
      </c>
      <c r="P18" s="469">
        <f t="shared" si="1"/>
        <v>176</v>
      </c>
      <c r="R18" s="6"/>
    </row>
    <row r="19" spans="1:18" ht="18.75" customHeight="1">
      <c r="A19" s="462" t="s">
        <v>1</v>
      </c>
      <c r="B19" s="587">
        <v>0</v>
      </c>
      <c r="C19" s="587">
        <v>0</v>
      </c>
      <c r="D19" s="587">
        <v>181</v>
      </c>
      <c r="E19" s="587">
        <f t="shared" si="0"/>
        <v>65</v>
      </c>
      <c r="F19" s="475">
        <v>0</v>
      </c>
      <c r="G19" s="475"/>
      <c r="H19" s="475">
        <v>0</v>
      </c>
      <c r="I19" s="475">
        <v>0</v>
      </c>
      <c r="J19" s="475">
        <v>0</v>
      </c>
      <c r="K19" s="475">
        <v>0</v>
      </c>
      <c r="L19" s="475">
        <v>0</v>
      </c>
      <c r="M19" s="475">
        <v>0</v>
      </c>
      <c r="N19" s="475">
        <v>65</v>
      </c>
      <c r="O19" s="475">
        <v>0</v>
      </c>
      <c r="P19" s="469">
        <f t="shared" si="1"/>
        <v>246</v>
      </c>
      <c r="R19" s="6"/>
    </row>
    <row r="20" spans="1:18" ht="18.75" customHeight="1">
      <c r="A20" s="462" t="s">
        <v>33</v>
      </c>
      <c r="B20" s="587">
        <v>0</v>
      </c>
      <c r="C20" s="587">
        <v>0</v>
      </c>
      <c r="D20" s="587">
        <v>447</v>
      </c>
      <c r="E20" s="587">
        <f t="shared" si="0"/>
        <v>539</v>
      </c>
      <c r="F20" s="475">
        <v>0</v>
      </c>
      <c r="G20" s="475"/>
      <c r="H20" s="475">
        <v>72</v>
      </c>
      <c r="I20" s="475">
        <v>90</v>
      </c>
      <c r="J20" s="475">
        <v>72</v>
      </c>
      <c r="K20" s="475">
        <v>35</v>
      </c>
      <c r="L20" s="475">
        <v>90</v>
      </c>
      <c r="M20" s="475">
        <v>72</v>
      </c>
      <c r="N20" s="475">
        <v>36</v>
      </c>
      <c r="O20" s="475">
        <v>72</v>
      </c>
      <c r="P20" s="469">
        <f t="shared" si="1"/>
        <v>986</v>
      </c>
      <c r="R20" s="6"/>
    </row>
    <row r="21" spans="1:18" ht="18.75" customHeight="1" thickBot="1">
      <c r="A21" s="463" t="s">
        <v>5</v>
      </c>
      <c r="B21" s="589">
        <v>0</v>
      </c>
      <c r="C21" s="589">
        <v>0</v>
      </c>
      <c r="D21" s="589">
        <v>1209</v>
      </c>
      <c r="E21" s="589">
        <f t="shared" si="0"/>
        <v>130</v>
      </c>
      <c r="F21" s="476">
        <v>0</v>
      </c>
      <c r="G21" s="476"/>
      <c r="H21" s="476">
        <v>0</v>
      </c>
      <c r="I21" s="476">
        <v>0</v>
      </c>
      <c r="J21" s="476">
        <v>0</v>
      </c>
      <c r="K21" s="476">
        <v>0</v>
      </c>
      <c r="L21" s="476">
        <v>0</v>
      </c>
      <c r="M21" s="476">
        <v>0</v>
      </c>
      <c r="N21" s="476">
        <v>130</v>
      </c>
      <c r="O21" s="476">
        <v>0</v>
      </c>
      <c r="P21" s="470">
        <f t="shared" si="1"/>
        <v>1339</v>
      </c>
      <c r="R21" s="6"/>
    </row>
    <row r="22" spans="1:16" ht="20.25" customHeight="1" thickBot="1">
      <c r="A22" s="464" t="s">
        <v>283</v>
      </c>
      <c r="B22" s="465">
        <f>SUM(B9:B21)</f>
        <v>1331</v>
      </c>
      <c r="C22" s="465">
        <f>SUM(C9:C21)</f>
        <v>0</v>
      </c>
      <c r="D22" s="466">
        <f>SUM(D9:D21)</f>
        <v>19680</v>
      </c>
      <c r="E22" s="465">
        <f>SUM(E9:E21)</f>
        <v>14193</v>
      </c>
      <c r="F22" s="477">
        <f aca="true" t="shared" si="2" ref="F22:O22">SUM(F9:F21)</f>
        <v>2658</v>
      </c>
      <c r="G22" s="477">
        <f t="shared" si="2"/>
        <v>663</v>
      </c>
      <c r="H22" s="477">
        <f t="shared" si="2"/>
        <v>2270</v>
      </c>
      <c r="I22" s="477">
        <f t="shared" si="2"/>
        <v>1094</v>
      </c>
      <c r="J22" s="477">
        <f t="shared" si="2"/>
        <v>445</v>
      </c>
      <c r="K22" s="477">
        <f t="shared" si="2"/>
        <v>383</v>
      </c>
      <c r="L22" s="477">
        <f t="shared" si="2"/>
        <v>1251</v>
      </c>
      <c r="M22" s="477">
        <f t="shared" si="2"/>
        <v>905</v>
      </c>
      <c r="N22" s="477">
        <f t="shared" si="2"/>
        <v>1912</v>
      </c>
      <c r="O22" s="477">
        <f t="shared" si="2"/>
        <v>2612</v>
      </c>
      <c r="P22" s="467">
        <f>SUM(B22:E22)</f>
        <v>35204</v>
      </c>
    </row>
    <row r="24" spans="2:16" ht="12.75">
      <c r="B24" s="597"/>
      <c r="C24" s="597"/>
      <c r="D24" s="597"/>
      <c r="E24" s="597"/>
      <c r="F24" s="597"/>
      <c r="G24" s="597"/>
      <c r="H24" s="597"/>
      <c r="I24" s="597"/>
      <c r="J24" s="597"/>
      <c r="K24" s="597"/>
      <c r="L24" s="597"/>
      <c r="M24" s="597"/>
      <c r="N24" s="597"/>
      <c r="O24" s="597"/>
      <c r="P24" s="597"/>
    </row>
    <row r="25" spans="2:5" ht="12.75">
      <c r="B25" s="6"/>
      <c r="C25" s="6"/>
      <c r="D25" s="6"/>
      <c r="E25" s="6"/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view="pageBreakPreview" zoomScaleSheetLayoutView="100" zoomScalePageLayoutView="0" workbookViewId="0" topLeftCell="A1">
      <pane xSplit="2" ySplit="7" topLeftCell="C2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31" sqref="P31:P41"/>
    </sheetView>
  </sheetViews>
  <sheetFormatPr defaultColWidth="9.140625" defaultRowHeight="12.75"/>
  <cols>
    <col min="1" max="1" width="7.421875" style="71" customWidth="1"/>
    <col min="2" max="2" width="65.8515625" style="82" customWidth="1"/>
    <col min="3" max="3" width="10.28125" style="10" customWidth="1"/>
    <col min="4" max="4" width="12.7109375" style="71" customWidth="1"/>
    <col min="5" max="5" width="15.140625" style="71" customWidth="1"/>
    <col min="6" max="6" width="17.7109375" style="71" customWidth="1"/>
    <col min="7" max="7" width="12.57421875" style="72" customWidth="1"/>
    <col min="8" max="8" width="10.421875" style="71" customWidth="1"/>
    <col min="9" max="9" width="13.57421875" style="71" customWidth="1"/>
    <col min="10" max="10" width="11.57421875" style="71" customWidth="1"/>
    <col min="11" max="12" width="10.00390625" style="71" customWidth="1"/>
    <col min="13" max="13" width="12.00390625" style="71" customWidth="1"/>
    <col min="14" max="15" width="12.00390625" style="71" bestFit="1" customWidth="1"/>
    <col min="16" max="16" width="12.421875" style="71" customWidth="1"/>
    <col min="17" max="17" width="11.140625" style="71" bestFit="1" customWidth="1"/>
    <col min="18" max="18" width="9.140625" style="71" customWidth="1"/>
    <col min="19" max="19" width="10.00390625" style="71" bestFit="1" customWidth="1"/>
    <col min="20" max="16384" width="9.140625" style="71" customWidth="1"/>
  </cols>
  <sheetData>
    <row r="1" spans="10:13" ht="15.75">
      <c r="J1" s="730" t="s">
        <v>389</v>
      </c>
      <c r="K1" s="730"/>
      <c r="L1" s="730"/>
      <c r="M1" s="730"/>
    </row>
    <row r="3" spans="1:13" ht="29.25" customHeight="1">
      <c r="A3" s="71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</row>
    <row r="4" spans="1:13" ht="27" customHeight="1">
      <c r="A4" s="729" t="s">
        <v>390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ht="10.5" customHeight="1"/>
    <row r="6" spans="1:13" ht="53.25" customHeight="1">
      <c r="A6" s="100"/>
      <c r="B6" s="87" t="s">
        <v>105</v>
      </c>
      <c r="C6" s="101" t="s">
        <v>63</v>
      </c>
      <c r="D6" s="102" t="s">
        <v>41</v>
      </c>
      <c r="E6" s="102" t="s">
        <v>54</v>
      </c>
      <c r="F6" s="102" t="s">
        <v>503</v>
      </c>
      <c r="G6" s="102" t="s">
        <v>219</v>
      </c>
      <c r="H6" s="102" t="s">
        <v>106</v>
      </c>
      <c r="I6" s="102" t="s">
        <v>113</v>
      </c>
      <c r="J6" s="102" t="s">
        <v>324</v>
      </c>
      <c r="K6" s="102" t="s">
        <v>237</v>
      </c>
      <c r="L6" s="102" t="s">
        <v>407</v>
      </c>
      <c r="M6" s="102" t="s">
        <v>197</v>
      </c>
    </row>
    <row r="7" spans="1:13" ht="12.75" customHeight="1">
      <c r="A7" s="100">
        <v>1</v>
      </c>
      <c r="B7" s="220">
        <v>2</v>
      </c>
      <c r="C7" s="219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219">
        <v>9</v>
      </c>
      <c r="J7" s="219">
        <v>10</v>
      </c>
      <c r="K7" s="219">
        <v>11</v>
      </c>
      <c r="L7" s="219">
        <v>12</v>
      </c>
      <c r="M7" s="219">
        <v>13</v>
      </c>
    </row>
    <row r="8" spans="1:18" ht="18" customHeight="1">
      <c r="A8" s="103">
        <v>1</v>
      </c>
      <c r="B8" s="294" t="s">
        <v>200</v>
      </c>
      <c r="C8" s="98">
        <f aca="true" t="shared" si="0" ref="C8:C29">SUM(D8:M8)</f>
        <v>7321</v>
      </c>
      <c r="D8" s="99">
        <f aca="true" t="shared" si="1" ref="D8:M8">SUM(D9:D10)</f>
        <v>5991</v>
      </c>
      <c r="E8" s="99">
        <f t="shared" si="1"/>
        <v>1147</v>
      </c>
      <c r="F8" s="99">
        <f t="shared" si="1"/>
        <v>183</v>
      </c>
      <c r="G8" s="99">
        <f t="shared" si="1"/>
        <v>0</v>
      </c>
      <c r="H8" s="99">
        <f t="shared" si="1"/>
        <v>0</v>
      </c>
      <c r="I8" s="99">
        <f t="shared" si="1"/>
        <v>0</v>
      </c>
      <c r="J8" s="99">
        <f t="shared" si="1"/>
        <v>0</v>
      </c>
      <c r="K8" s="99">
        <f t="shared" si="1"/>
        <v>0</v>
      </c>
      <c r="L8" s="99">
        <f t="shared" si="1"/>
        <v>0</v>
      </c>
      <c r="M8" s="99">
        <f t="shared" si="1"/>
        <v>0</v>
      </c>
      <c r="O8" s="355">
        <f>SUM(O9:O10)</f>
        <v>52105.084149999995</v>
      </c>
      <c r="P8" s="355">
        <f>SUM(P9:P10)</f>
        <v>8132.97555</v>
      </c>
      <c r="R8" s="108"/>
    </row>
    <row r="9" spans="1:18" ht="15" customHeight="1">
      <c r="A9" s="74" t="s">
        <v>86</v>
      </c>
      <c r="B9" s="83" t="s">
        <v>87</v>
      </c>
      <c r="C9" s="78">
        <f t="shared" si="0"/>
        <v>5396</v>
      </c>
      <c r="D9" s="76">
        <v>4066</v>
      </c>
      <c r="E9" s="76">
        <v>1147</v>
      </c>
      <c r="F9" s="76">
        <v>183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1">
        <v>7090.65</v>
      </c>
      <c r="O9" s="355">
        <f>N9*D9/1000</f>
        <v>28830.582899999998</v>
      </c>
      <c r="P9" s="355">
        <f>E9*N9/1000</f>
        <v>8132.97555</v>
      </c>
      <c r="R9" s="108"/>
    </row>
    <row r="10" spans="1:18" ht="15" customHeight="1">
      <c r="A10" s="74" t="s">
        <v>88</v>
      </c>
      <c r="B10" s="84" t="s">
        <v>89</v>
      </c>
      <c r="C10" s="78">
        <f t="shared" si="0"/>
        <v>1925</v>
      </c>
      <c r="D10" s="76">
        <v>1925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1">
        <v>12090.65</v>
      </c>
      <c r="O10" s="355">
        <f>N10*D10/1000</f>
        <v>23274.50125</v>
      </c>
      <c r="P10" s="355">
        <f>E10*N10/1000</f>
        <v>0</v>
      </c>
      <c r="R10" s="108"/>
    </row>
    <row r="11" spans="1:18" s="75" customFormat="1" ht="15" customHeight="1">
      <c r="A11" s="74" t="s">
        <v>90</v>
      </c>
      <c r="B11" s="84" t="s">
        <v>91</v>
      </c>
      <c r="C11" s="78">
        <f t="shared" si="0"/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R11" s="108"/>
    </row>
    <row r="12" spans="1:25" s="75" customFormat="1" ht="18.75" customHeight="1">
      <c r="A12" s="93">
        <v>2</v>
      </c>
      <c r="B12" s="295" t="s">
        <v>201</v>
      </c>
      <c r="C12" s="98">
        <f t="shared" si="0"/>
        <v>2856</v>
      </c>
      <c r="D12" s="99">
        <f>SUM(D13:D15)</f>
        <v>2795</v>
      </c>
      <c r="E12" s="99">
        <f aca="true" t="shared" si="2" ref="E12:L12">SUM(E13:E15)</f>
        <v>0</v>
      </c>
      <c r="F12" s="99">
        <f t="shared" si="2"/>
        <v>0</v>
      </c>
      <c r="G12" s="99">
        <f t="shared" si="2"/>
        <v>0</v>
      </c>
      <c r="H12" s="99">
        <f t="shared" si="2"/>
        <v>61</v>
      </c>
      <c r="I12" s="99">
        <f t="shared" si="2"/>
        <v>0</v>
      </c>
      <c r="J12" s="99">
        <f t="shared" si="2"/>
        <v>0</v>
      </c>
      <c r="K12" s="99">
        <f t="shared" si="2"/>
        <v>0</v>
      </c>
      <c r="L12" s="99">
        <f t="shared" si="2"/>
        <v>0</v>
      </c>
      <c r="M12" s="99">
        <f>SUM(M13:M15)</f>
        <v>0</v>
      </c>
      <c r="O12" s="355">
        <f>SUM(O13:O14)</f>
        <v>35399.54125</v>
      </c>
      <c r="P12" s="355">
        <f>SUM(P13:P14)</f>
        <v>732.57675</v>
      </c>
      <c r="Q12" s="549"/>
      <c r="R12" s="550"/>
      <c r="S12" s="356"/>
      <c r="T12" s="356"/>
      <c r="U12" s="356"/>
      <c r="V12" s="356"/>
      <c r="W12" s="355"/>
      <c r="X12" s="355"/>
      <c r="Y12" s="355"/>
    </row>
    <row r="13" spans="1:25" s="75" customFormat="1" ht="15.75" customHeight="1">
      <c r="A13" s="74" t="s">
        <v>92</v>
      </c>
      <c r="B13" s="84" t="s">
        <v>87</v>
      </c>
      <c r="C13" s="78">
        <f t="shared" si="0"/>
        <v>2068</v>
      </c>
      <c r="D13" s="76">
        <f>1924+92</f>
        <v>2016</v>
      </c>
      <c r="E13" s="76">
        <v>0</v>
      </c>
      <c r="F13" s="76">
        <v>0</v>
      </c>
      <c r="G13" s="76">
        <v>0</v>
      </c>
      <c r="H13" s="76">
        <f>39+10+3</f>
        <v>52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5">
        <v>11271.75</v>
      </c>
      <c r="O13" s="355">
        <f>N13*D13/1000</f>
        <v>22723.848</v>
      </c>
      <c r="P13" s="355">
        <f>H13*N13/1000</f>
        <v>586.131</v>
      </c>
      <c r="Q13" s="549"/>
      <c r="R13" s="550"/>
      <c r="S13" s="356"/>
      <c r="T13" s="356"/>
      <c r="U13" s="356"/>
      <c r="V13" s="356"/>
      <c r="W13" s="356"/>
      <c r="Y13" s="355"/>
    </row>
    <row r="14" spans="1:25" ht="15.75" customHeight="1">
      <c r="A14" s="74" t="s">
        <v>93</v>
      </c>
      <c r="B14" s="84" t="s">
        <v>89</v>
      </c>
      <c r="C14" s="78">
        <f t="shared" si="0"/>
        <v>788</v>
      </c>
      <c r="D14" s="76">
        <f>742+37</f>
        <v>779</v>
      </c>
      <c r="E14" s="76">
        <v>0</v>
      </c>
      <c r="F14" s="76">
        <v>0</v>
      </c>
      <c r="G14" s="76">
        <v>0</v>
      </c>
      <c r="H14" s="76">
        <f>3+6</f>
        <v>9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1">
        <v>16271.75</v>
      </c>
      <c r="O14" s="355">
        <f>N14*D14/1000</f>
        <v>12675.69325</v>
      </c>
      <c r="P14" s="355">
        <f>H14*N14/1000</f>
        <v>146.44575</v>
      </c>
      <c r="Q14" s="551"/>
      <c r="R14" s="550"/>
      <c r="S14" s="357"/>
      <c r="T14" s="357"/>
      <c r="U14" s="357"/>
      <c r="V14" s="357"/>
      <c r="W14" s="356"/>
      <c r="Y14" s="355"/>
    </row>
    <row r="15" spans="1:18" s="75" customFormat="1" ht="15.75" customHeight="1">
      <c r="A15" s="74" t="s">
        <v>94</v>
      </c>
      <c r="B15" s="84" t="s">
        <v>91</v>
      </c>
      <c r="C15" s="78">
        <f t="shared" si="0"/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Q15" s="549"/>
      <c r="R15" s="550"/>
    </row>
    <row r="16" spans="1:18" s="75" customFormat="1" ht="19.5" customHeight="1">
      <c r="A16" s="97">
        <v>3</v>
      </c>
      <c r="B16" s="295" t="s">
        <v>430</v>
      </c>
      <c r="C16" s="98">
        <f t="shared" si="0"/>
        <v>6142</v>
      </c>
      <c r="D16" s="99">
        <f aca="true" t="shared" si="3" ref="D16:M16">SUM(D17:D20)</f>
        <v>1405</v>
      </c>
      <c r="E16" s="99">
        <f t="shared" si="3"/>
        <v>613</v>
      </c>
      <c r="F16" s="99">
        <f t="shared" si="3"/>
        <v>1994</v>
      </c>
      <c r="G16" s="99">
        <f t="shared" si="3"/>
        <v>2130</v>
      </c>
      <c r="H16" s="99">
        <f t="shared" si="3"/>
        <v>0</v>
      </c>
      <c r="I16" s="99">
        <f t="shared" si="3"/>
        <v>0</v>
      </c>
      <c r="J16" s="99">
        <f t="shared" si="3"/>
        <v>0</v>
      </c>
      <c r="K16" s="99">
        <f t="shared" si="3"/>
        <v>0</v>
      </c>
      <c r="L16" s="99">
        <f t="shared" si="3"/>
        <v>0</v>
      </c>
      <c r="M16" s="99">
        <f t="shared" si="3"/>
        <v>0</v>
      </c>
      <c r="O16" s="493">
        <f>SUM(O17:O20)</f>
        <v>3799.9512999999997</v>
      </c>
      <c r="P16" s="493">
        <f>SUM(P17:P20)</f>
        <v>1965.1617999999999</v>
      </c>
      <c r="Q16" s="493">
        <f>SUM(Q17:Q20)</f>
        <v>4877.7148</v>
      </c>
      <c r="R16" s="493">
        <f>SUM(R17:R20)</f>
        <v>5259.0162</v>
      </c>
    </row>
    <row r="17" spans="1:18" s="75" customFormat="1" ht="14.25" customHeight="1">
      <c r="A17" s="432" t="s">
        <v>95</v>
      </c>
      <c r="B17" s="85" t="s">
        <v>165</v>
      </c>
      <c r="C17" s="78">
        <f t="shared" si="0"/>
        <v>2471</v>
      </c>
      <c r="D17" s="7">
        <f>650+67</f>
        <v>717</v>
      </c>
      <c r="E17" s="7">
        <v>600</v>
      </c>
      <c r="F17" s="76">
        <v>536</v>
      </c>
      <c r="G17" s="112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5">
        <v>3228.5</v>
      </c>
      <c r="O17" s="355">
        <f>N17*D17/1000</f>
        <v>2314.8345</v>
      </c>
      <c r="P17" s="355">
        <f>E17*N17/1000</f>
        <v>1937.1</v>
      </c>
      <c r="Q17" s="355">
        <f>F17*N17/1000</f>
        <v>1730.476</v>
      </c>
      <c r="R17" s="108">
        <f>G17*N17/1000</f>
        <v>1995.213</v>
      </c>
    </row>
    <row r="18" spans="1:18" ht="14.25" customHeight="1">
      <c r="A18" s="432" t="s">
        <v>96</v>
      </c>
      <c r="B18" s="85" t="s">
        <v>148</v>
      </c>
      <c r="C18" s="78">
        <f t="shared" si="0"/>
        <v>375</v>
      </c>
      <c r="D18" s="7">
        <v>363</v>
      </c>
      <c r="E18" s="7">
        <v>0</v>
      </c>
      <c r="F18" s="76">
        <v>0</v>
      </c>
      <c r="G18" s="112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1">
        <v>2158.6</v>
      </c>
      <c r="O18" s="355">
        <f>N18*D18/1000</f>
        <v>783.5717999999999</v>
      </c>
      <c r="P18" s="355">
        <f>E18*N18/1000</f>
        <v>0</v>
      </c>
      <c r="Q18" s="355">
        <f>F18*N18/1000</f>
        <v>0</v>
      </c>
      <c r="R18" s="108">
        <f>G18*N18/1000</f>
        <v>25.9032</v>
      </c>
    </row>
    <row r="19" spans="1:18" ht="14.25" customHeight="1">
      <c r="A19" s="432" t="s">
        <v>97</v>
      </c>
      <c r="B19" s="85" t="s">
        <v>149</v>
      </c>
      <c r="C19" s="78">
        <f t="shared" si="0"/>
        <v>3296</v>
      </c>
      <c r="D19" s="7">
        <v>325</v>
      </c>
      <c r="E19" s="7">
        <v>13</v>
      </c>
      <c r="F19" s="7">
        <v>1458</v>
      </c>
      <c r="G19" s="112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1">
        <v>2158.6</v>
      </c>
      <c r="O19" s="355">
        <f>N19*D19/1000</f>
        <v>701.545</v>
      </c>
      <c r="P19" s="355">
        <f>E19*N19/1000</f>
        <v>28.061799999999998</v>
      </c>
      <c r="Q19" s="355">
        <f>F19*N19/1000</f>
        <v>3147.2387999999996</v>
      </c>
      <c r="R19" s="108">
        <f>G19*N19/1000</f>
        <v>3237.9</v>
      </c>
    </row>
    <row r="20" spans="1:18" ht="14.25" customHeight="1">
      <c r="A20" s="73" t="s">
        <v>98</v>
      </c>
      <c r="B20" s="85" t="s">
        <v>91</v>
      </c>
      <c r="C20" s="78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8"/>
    </row>
    <row r="21" spans="1:18" ht="19.5" customHeight="1">
      <c r="A21" s="93">
        <v>4</v>
      </c>
      <c r="B21" s="294" t="s">
        <v>199</v>
      </c>
      <c r="C21" s="98">
        <f t="shared" si="0"/>
        <v>5490</v>
      </c>
      <c r="D21" s="99">
        <f>SUM(D22:D29)</f>
        <v>4985</v>
      </c>
      <c r="E21" s="99">
        <f>SUM(E22:E29)</f>
        <v>37</v>
      </c>
      <c r="F21" s="99">
        <f>SUM(F22:F29)</f>
        <v>68</v>
      </c>
      <c r="G21" s="99">
        <f>SUM(G22:G29)</f>
        <v>400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O21" s="492">
        <f>SUM(O22:O29)</f>
        <v>16638.6571</v>
      </c>
      <c r="P21" s="492">
        <f>SUM(P22:P29)</f>
        <v>104.7433</v>
      </c>
      <c r="R21" s="108"/>
    </row>
    <row r="22" spans="1:18" s="113" customFormat="1" ht="15.75">
      <c r="A22" s="109" t="s">
        <v>157</v>
      </c>
      <c r="B22" s="110" t="s">
        <v>150</v>
      </c>
      <c r="C22" s="78">
        <f t="shared" si="0"/>
        <v>373</v>
      </c>
      <c r="D22" s="112">
        <v>373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3">
        <v>2916.9</v>
      </c>
      <c r="O22" s="355">
        <f aca="true" t="shared" si="4" ref="O22:O29">N22*D22/1000</f>
        <v>1088.0037</v>
      </c>
      <c r="P22" s="355">
        <f aca="true" t="shared" si="5" ref="P22:P29">E22*N22/1000</f>
        <v>0</v>
      </c>
      <c r="R22" s="108"/>
    </row>
    <row r="23" spans="1:18" s="113" customFormat="1" ht="15.75">
      <c r="A23" s="109" t="s">
        <v>158</v>
      </c>
      <c r="B23" s="110" t="s">
        <v>151</v>
      </c>
      <c r="C23" s="78">
        <f t="shared" si="0"/>
        <v>3808</v>
      </c>
      <c r="D23" s="112">
        <f>3808-400-E23-F23</f>
        <v>3304</v>
      </c>
      <c r="E23" s="112">
        <v>37</v>
      </c>
      <c r="F23" s="112">
        <v>67</v>
      </c>
      <c r="G23" s="112">
        <v>400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3">
        <v>2830.9</v>
      </c>
      <c r="O23" s="355">
        <f t="shared" si="4"/>
        <v>9353.293599999999</v>
      </c>
      <c r="P23" s="355">
        <f t="shared" si="5"/>
        <v>104.7433</v>
      </c>
      <c r="R23" s="108"/>
    </row>
    <row r="24" spans="1:18" s="113" customFormat="1" ht="15.75">
      <c r="A24" s="109" t="s">
        <v>159</v>
      </c>
      <c r="B24" s="110" t="s">
        <v>152</v>
      </c>
      <c r="C24" s="78">
        <f t="shared" si="0"/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O24" s="355">
        <f t="shared" si="4"/>
        <v>0</v>
      </c>
      <c r="P24" s="355">
        <f t="shared" si="5"/>
        <v>0</v>
      </c>
      <c r="R24" s="108"/>
    </row>
    <row r="25" spans="1:18" s="113" customFormat="1" ht="15.75">
      <c r="A25" s="109" t="s">
        <v>160</v>
      </c>
      <c r="B25" s="110" t="s">
        <v>153</v>
      </c>
      <c r="C25" s="78">
        <f t="shared" si="0"/>
        <v>1301</v>
      </c>
      <c r="D25" s="112">
        <v>1300</v>
      </c>
      <c r="E25" s="112">
        <v>0</v>
      </c>
      <c r="F25" s="112">
        <v>1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3">
        <v>4751.8</v>
      </c>
      <c r="O25" s="355">
        <f t="shared" si="4"/>
        <v>6177.34</v>
      </c>
      <c r="P25" s="355">
        <f t="shared" si="5"/>
        <v>0</v>
      </c>
      <c r="R25" s="108"/>
    </row>
    <row r="26" spans="1:18" s="113" customFormat="1" ht="15.75">
      <c r="A26" s="109" t="s">
        <v>161</v>
      </c>
      <c r="B26" s="110" t="s">
        <v>154</v>
      </c>
      <c r="C26" s="78">
        <f t="shared" si="0"/>
        <v>1</v>
      </c>
      <c r="D26" s="112">
        <v>1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3">
        <v>3098</v>
      </c>
      <c r="O26" s="355">
        <f t="shared" si="4"/>
        <v>3.098</v>
      </c>
      <c r="P26" s="355">
        <f t="shared" si="5"/>
        <v>0</v>
      </c>
      <c r="R26" s="108"/>
    </row>
    <row r="27" spans="1:18" s="113" customFormat="1" ht="15.75">
      <c r="A27" s="109" t="s">
        <v>162</v>
      </c>
      <c r="B27" s="110" t="s">
        <v>155</v>
      </c>
      <c r="C27" s="78">
        <f t="shared" si="0"/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O27" s="355">
        <f t="shared" si="4"/>
        <v>0</v>
      </c>
      <c r="P27" s="355">
        <f t="shared" si="5"/>
        <v>0</v>
      </c>
      <c r="R27" s="108"/>
    </row>
    <row r="28" spans="1:18" s="113" customFormat="1" ht="15.75">
      <c r="A28" s="109" t="s">
        <v>163</v>
      </c>
      <c r="B28" s="110" t="s">
        <v>156</v>
      </c>
      <c r="C28" s="78">
        <f t="shared" si="0"/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O28" s="355">
        <f t="shared" si="4"/>
        <v>0</v>
      </c>
      <c r="P28" s="355">
        <f t="shared" si="5"/>
        <v>0</v>
      </c>
      <c r="R28" s="108"/>
    </row>
    <row r="29" spans="1:18" s="113" customFormat="1" ht="15.75">
      <c r="A29" s="109" t="s">
        <v>164</v>
      </c>
      <c r="B29" s="110" t="s">
        <v>91</v>
      </c>
      <c r="C29" s="78">
        <f t="shared" si="0"/>
        <v>7</v>
      </c>
      <c r="D29" s="112">
        <v>7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  <c r="N29" s="113">
        <v>2417.4</v>
      </c>
      <c r="O29" s="355">
        <f t="shared" si="4"/>
        <v>16.921799999999998</v>
      </c>
      <c r="P29" s="355">
        <f t="shared" si="5"/>
        <v>0</v>
      </c>
      <c r="R29" s="108"/>
    </row>
    <row r="30" spans="1:18" ht="26.25" customHeight="1">
      <c r="A30" s="93">
        <v>5</v>
      </c>
      <c r="B30" s="294" t="s">
        <v>433</v>
      </c>
      <c r="C30" s="98">
        <f>SUM(D30:M30)</f>
        <v>131</v>
      </c>
      <c r="D30" s="99">
        <f aca="true" t="shared" si="6" ref="D30:K30">SUM(D31:D41)</f>
        <v>0</v>
      </c>
      <c r="E30" s="99">
        <f t="shared" si="6"/>
        <v>0</v>
      </c>
      <c r="F30" s="99">
        <f t="shared" si="6"/>
        <v>0</v>
      </c>
      <c r="G30" s="99">
        <f t="shared" si="6"/>
        <v>0</v>
      </c>
      <c r="H30" s="99">
        <f t="shared" si="6"/>
        <v>0</v>
      </c>
      <c r="I30" s="99">
        <f t="shared" si="6"/>
        <v>0</v>
      </c>
      <c r="J30" s="99">
        <f t="shared" si="6"/>
        <v>0</v>
      </c>
      <c r="K30" s="99">
        <f t="shared" si="6"/>
        <v>0</v>
      </c>
      <c r="L30" s="99">
        <f>SUM(L31:L41)</f>
        <v>34</v>
      </c>
      <c r="M30" s="99">
        <f>SUM(M31:M41)</f>
        <v>97</v>
      </c>
      <c r="P30" s="108"/>
      <c r="R30" s="108"/>
    </row>
    <row r="31" spans="1:18" ht="15.75" customHeight="1">
      <c r="A31" s="80" t="s">
        <v>99</v>
      </c>
      <c r="B31" s="84" t="s">
        <v>411</v>
      </c>
      <c r="C31" s="79">
        <v>42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625">
        <v>10</v>
      </c>
      <c r="M31" s="479">
        <f aca="true" t="shared" si="7" ref="M31:M41">C31-L31</f>
        <v>32</v>
      </c>
      <c r="O31" s="430">
        <f>5646.3*0.6745</f>
        <v>3808.42935</v>
      </c>
      <c r="P31" s="357">
        <f>O31*L31/1000</f>
        <v>38.0842935</v>
      </c>
      <c r="R31" s="108"/>
    </row>
    <row r="32" spans="1:18" ht="15.75" customHeight="1">
      <c r="A32" s="80" t="s">
        <v>100</v>
      </c>
      <c r="B32" s="84" t="s">
        <v>412</v>
      </c>
      <c r="C32" s="79">
        <v>9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2</v>
      </c>
      <c r="M32" s="479">
        <f t="shared" si="7"/>
        <v>7</v>
      </c>
      <c r="O32" s="430">
        <f>11648.4*1.3915</f>
        <v>16208.748599999999</v>
      </c>
      <c r="P32" s="357">
        <f aca="true" t="shared" si="8" ref="P32:P41">O32*L32/1000</f>
        <v>32.4174972</v>
      </c>
      <c r="R32" s="108"/>
    </row>
    <row r="33" spans="1:18" s="75" customFormat="1" ht="15.75" customHeight="1">
      <c r="A33" s="80" t="s">
        <v>101</v>
      </c>
      <c r="B33" s="84" t="s">
        <v>413</v>
      </c>
      <c r="C33" s="79">
        <v>13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5</v>
      </c>
      <c r="M33" s="479">
        <f t="shared" si="7"/>
        <v>8</v>
      </c>
      <c r="O33" s="355">
        <f>10790.3*1.289</f>
        <v>13908.696699999999</v>
      </c>
      <c r="P33" s="357">
        <f t="shared" si="8"/>
        <v>69.5434835</v>
      </c>
      <c r="R33" s="108"/>
    </row>
    <row r="34" spans="1:18" s="75" customFormat="1" ht="15.75" customHeight="1">
      <c r="A34" s="80" t="s">
        <v>102</v>
      </c>
      <c r="B34" s="84" t="s">
        <v>414</v>
      </c>
      <c r="C34" s="79">
        <v>28</v>
      </c>
      <c r="D34" s="76">
        <v>0</v>
      </c>
      <c r="E34" s="76">
        <v>0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625">
        <v>5</v>
      </c>
      <c r="M34" s="479">
        <f t="shared" si="7"/>
        <v>23</v>
      </c>
      <c r="O34" s="355">
        <f>11595.6*1.3852</f>
        <v>16062.225120000001</v>
      </c>
      <c r="P34" s="357">
        <f t="shared" si="8"/>
        <v>80.3111256</v>
      </c>
      <c r="R34" s="108"/>
    </row>
    <row r="35" spans="1:18" s="75" customFormat="1" ht="15.75" customHeight="1">
      <c r="A35" s="80" t="s">
        <v>103</v>
      </c>
      <c r="B35" s="84" t="s">
        <v>415</v>
      </c>
      <c r="C35" s="79">
        <v>4</v>
      </c>
      <c r="D35" s="76">
        <v>0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625">
        <v>4</v>
      </c>
      <c r="M35" s="479">
        <f t="shared" si="7"/>
        <v>0</v>
      </c>
      <c r="O35" s="75">
        <f>8371.1</f>
        <v>8371.1</v>
      </c>
      <c r="P35" s="357">
        <f t="shared" si="8"/>
        <v>33.4844</v>
      </c>
      <c r="R35" s="108"/>
    </row>
    <row r="36" spans="1:18" s="75" customFormat="1" ht="25.5" customHeight="1">
      <c r="A36" s="80" t="s">
        <v>104</v>
      </c>
      <c r="B36" s="83" t="s">
        <v>416</v>
      </c>
      <c r="C36" s="79">
        <v>21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5</v>
      </c>
      <c r="M36" s="479">
        <f t="shared" si="7"/>
        <v>16</v>
      </c>
      <c r="O36" s="356">
        <f>6835.8*0.8166</f>
        <v>5582.11428</v>
      </c>
      <c r="P36" s="357">
        <f t="shared" si="8"/>
        <v>27.910571400000002</v>
      </c>
      <c r="R36" s="108"/>
    </row>
    <row r="37" spans="1:18" s="75" customFormat="1" ht="25.5" customHeight="1">
      <c r="A37" s="80" t="s">
        <v>408</v>
      </c>
      <c r="B37" s="83" t="s">
        <v>417</v>
      </c>
      <c r="C37" s="79">
        <v>9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f>ROUND(C37/131*31,0)</f>
        <v>2</v>
      </c>
      <c r="M37" s="479">
        <f t="shared" si="7"/>
        <v>7</v>
      </c>
      <c r="O37" s="75">
        <f>8371.1</f>
        <v>8371.1</v>
      </c>
      <c r="P37" s="357">
        <f t="shared" si="8"/>
        <v>16.7422</v>
      </c>
      <c r="R37" s="108"/>
    </row>
    <row r="38" spans="1:18" s="75" customFormat="1" ht="15.75" customHeight="1">
      <c r="A38" s="80" t="s">
        <v>409</v>
      </c>
      <c r="B38" s="83" t="s">
        <v>418</v>
      </c>
      <c r="C38" s="79">
        <v>4</v>
      </c>
      <c r="D38" s="76">
        <v>0</v>
      </c>
      <c r="E38" s="76">
        <v>0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f>ROUND(C38/131*31,0)</f>
        <v>1</v>
      </c>
      <c r="M38" s="479">
        <f t="shared" si="7"/>
        <v>3</v>
      </c>
      <c r="O38" s="75">
        <f>8371.1</f>
        <v>8371.1</v>
      </c>
      <c r="P38" s="357">
        <f t="shared" si="8"/>
        <v>8.3711</v>
      </c>
      <c r="R38" s="108"/>
    </row>
    <row r="39" spans="1:18" s="75" customFormat="1" ht="26.25" customHeight="1">
      <c r="A39" s="80" t="s">
        <v>410</v>
      </c>
      <c r="B39" s="83" t="s">
        <v>419</v>
      </c>
      <c r="C39" s="79">
        <v>1</v>
      </c>
      <c r="D39" s="76">
        <v>0</v>
      </c>
      <c r="E39" s="76">
        <v>0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479">
        <f t="shared" si="7"/>
        <v>1</v>
      </c>
      <c r="O39" s="75">
        <f>8371.1</f>
        <v>8371.1</v>
      </c>
      <c r="P39" s="357">
        <f t="shared" si="8"/>
        <v>0</v>
      </c>
      <c r="R39" s="108"/>
    </row>
    <row r="40" spans="1:18" s="75" customFormat="1" ht="27" customHeight="1">
      <c r="A40" s="80" t="s">
        <v>420</v>
      </c>
      <c r="B40" s="83" t="s">
        <v>422</v>
      </c>
      <c r="C40" s="79">
        <v>0</v>
      </c>
      <c r="D40" s="76">
        <v>0</v>
      </c>
      <c r="E40" s="76">
        <v>0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/>
      <c r="M40" s="479">
        <f t="shared" si="7"/>
        <v>0</v>
      </c>
      <c r="O40" s="75">
        <f>8371.1</f>
        <v>8371.1</v>
      </c>
      <c r="P40" s="357">
        <f t="shared" si="8"/>
        <v>0</v>
      </c>
      <c r="R40" s="108"/>
    </row>
    <row r="41" spans="1:18" s="75" customFormat="1" ht="15.75">
      <c r="A41" s="80" t="s">
        <v>421</v>
      </c>
      <c r="B41" s="83" t="s">
        <v>91</v>
      </c>
      <c r="C41" s="79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/>
      <c r="M41" s="479">
        <f t="shared" si="7"/>
        <v>0</v>
      </c>
      <c r="O41" s="75">
        <f>8371.1</f>
        <v>8371.1</v>
      </c>
      <c r="P41" s="357">
        <f t="shared" si="8"/>
        <v>0</v>
      </c>
      <c r="R41" s="108"/>
    </row>
    <row r="42" spans="1:18" s="75" customFormat="1" ht="41.25" customHeight="1">
      <c r="A42" s="97">
        <v>6</v>
      </c>
      <c r="B42" s="294" t="s">
        <v>186</v>
      </c>
      <c r="C42" s="98">
        <f aca="true" t="shared" si="9" ref="C42:C72">SUM(D42:M42)</f>
        <v>1777</v>
      </c>
      <c r="D42" s="96">
        <v>1777</v>
      </c>
      <c r="E42" s="95">
        <v>0</v>
      </c>
      <c r="F42" s="95">
        <v>0</v>
      </c>
      <c r="G42" s="96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R42" s="108"/>
    </row>
    <row r="43" spans="1:18" s="75" customFormat="1" ht="29.25" customHeight="1">
      <c r="A43" s="93">
        <v>7</v>
      </c>
      <c r="B43" s="294" t="s">
        <v>194</v>
      </c>
      <c r="C43" s="98">
        <f t="shared" si="9"/>
        <v>37056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99">
        <v>0</v>
      </c>
      <c r="J43" s="99">
        <v>37056</v>
      </c>
      <c r="K43" s="99">
        <v>0</v>
      </c>
      <c r="L43" s="99">
        <v>0</v>
      </c>
      <c r="M43" s="99">
        <v>0</v>
      </c>
      <c r="N43" s="488">
        <v>1412.99</v>
      </c>
      <c r="O43" s="489">
        <f>N43*J43/1000</f>
        <v>52359.75744</v>
      </c>
      <c r="R43" s="108"/>
    </row>
    <row r="44" spans="1:18" s="75" customFormat="1" ht="21.75" customHeight="1">
      <c r="A44" s="93">
        <v>8</v>
      </c>
      <c r="B44" s="294" t="s">
        <v>198</v>
      </c>
      <c r="C44" s="98">
        <f t="shared" si="9"/>
        <v>4369</v>
      </c>
      <c r="D44" s="99">
        <f aca="true" t="shared" si="10" ref="D44:I44">SUM(D45:D63)</f>
        <v>0</v>
      </c>
      <c r="E44" s="99">
        <f t="shared" si="10"/>
        <v>0</v>
      </c>
      <c r="F44" s="99">
        <f t="shared" si="10"/>
        <v>0</v>
      </c>
      <c r="G44" s="99">
        <f t="shared" si="10"/>
        <v>0</v>
      </c>
      <c r="H44" s="99">
        <f t="shared" si="10"/>
        <v>0</v>
      </c>
      <c r="I44" s="99">
        <f t="shared" si="10"/>
        <v>288</v>
      </c>
      <c r="J44" s="99">
        <f>SUM(J45:J63)</f>
        <v>4081</v>
      </c>
      <c r="K44" s="99">
        <f>SUM(K45:K63)</f>
        <v>0</v>
      </c>
      <c r="L44" s="99">
        <f>SUM(L45:L63)</f>
        <v>0</v>
      </c>
      <c r="M44" s="99">
        <f>SUM(M45:M63)</f>
        <v>0</v>
      </c>
      <c r="O44" s="355">
        <f>SUM(O45:O52)</f>
        <v>474.18</v>
      </c>
      <c r="R44" s="108"/>
    </row>
    <row r="45" spans="1:18" ht="54" customHeight="1">
      <c r="A45" s="80" t="s">
        <v>122</v>
      </c>
      <c r="B45" s="84" t="s">
        <v>114</v>
      </c>
      <c r="C45" s="79">
        <f t="shared" si="9"/>
        <v>200</v>
      </c>
      <c r="D45" s="76">
        <v>0</v>
      </c>
      <c r="E45" s="76">
        <v>0</v>
      </c>
      <c r="F45" s="76">
        <v>0</v>
      </c>
      <c r="G45" s="363">
        <v>0</v>
      </c>
      <c r="H45" s="76">
        <v>0</v>
      </c>
      <c r="I45" s="76">
        <v>200</v>
      </c>
      <c r="J45" s="76">
        <v>0</v>
      </c>
      <c r="K45" s="76"/>
      <c r="L45" s="76"/>
      <c r="M45" s="76">
        <v>0</v>
      </c>
      <c r="N45" s="71">
        <v>1500</v>
      </c>
      <c r="O45" s="430">
        <f>N45*I45/1000</f>
        <v>300</v>
      </c>
      <c r="R45" s="108"/>
    </row>
    <row r="46" spans="1:18" ht="18" customHeight="1">
      <c r="A46" s="80" t="s">
        <v>123</v>
      </c>
      <c r="B46" s="84" t="s">
        <v>115</v>
      </c>
      <c r="C46" s="79">
        <f t="shared" si="9"/>
        <v>40</v>
      </c>
      <c r="D46" s="76">
        <v>0</v>
      </c>
      <c r="E46" s="76">
        <v>0</v>
      </c>
      <c r="F46" s="76">
        <v>0</v>
      </c>
      <c r="G46" s="363">
        <v>0</v>
      </c>
      <c r="H46" s="76">
        <v>0</v>
      </c>
      <c r="I46" s="76">
        <v>40</v>
      </c>
      <c r="J46" s="76">
        <v>0</v>
      </c>
      <c r="K46" s="76"/>
      <c r="L46" s="76"/>
      <c r="M46" s="76">
        <v>0</v>
      </c>
      <c r="N46" s="71">
        <v>1825</v>
      </c>
      <c r="O46" s="430">
        <f aca="true" t="shared" si="11" ref="O46:O52">N46*I46/1000</f>
        <v>73</v>
      </c>
      <c r="R46" s="108"/>
    </row>
    <row r="47" spans="1:18" ht="18" customHeight="1">
      <c r="A47" s="80" t="s">
        <v>166</v>
      </c>
      <c r="B47" s="84" t="s">
        <v>116</v>
      </c>
      <c r="C47" s="79">
        <f t="shared" si="9"/>
        <v>1</v>
      </c>
      <c r="D47" s="76">
        <v>0</v>
      </c>
      <c r="E47" s="76">
        <v>0</v>
      </c>
      <c r="F47" s="76">
        <v>0</v>
      </c>
      <c r="G47" s="363">
        <v>0</v>
      </c>
      <c r="H47" s="76">
        <v>0</v>
      </c>
      <c r="I47" s="76">
        <v>1</v>
      </c>
      <c r="J47" s="76">
        <v>0</v>
      </c>
      <c r="K47" s="76"/>
      <c r="L47" s="76"/>
      <c r="M47" s="76">
        <v>0</v>
      </c>
      <c r="N47" s="71">
        <v>1685</v>
      </c>
      <c r="O47" s="430">
        <f t="shared" si="11"/>
        <v>1.685</v>
      </c>
      <c r="R47" s="108"/>
    </row>
    <row r="48" spans="1:18" ht="18" customHeight="1">
      <c r="A48" s="80" t="s">
        <v>189</v>
      </c>
      <c r="B48" s="84" t="s">
        <v>117</v>
      </c>
      <c r="C48" s="79">
        <f t="shared" si="9"/>
        <v>1</v>
      </c>
      <c r="D48" s="76">
        <v>0</v>
      </c>
      <c r="E48" s="76">
        <v>0</v>
      </c>
      <c r="F48" s="76">
        <v>0</v>
      </c>
      <c r="G48" s="363">
        <v>0</v>
      </c>
      <c r="H48" s="76">
        <v>0</v>
      </c>
      <c r="I48" s="76">
        <v>1</v>
      </c>
      <c r="J48" s="76">
        <v>0</v>
      </c>
      <c r="K48" s="76"/>
      <c r="L48" s="76"/>
      <c r="M48" s="76">
        <v>0</v>
      </c>
      <c r="N48" s="71">
        <v>1685</v>
      </c>
      <c r="O48" s="430">
        <f t="shared" si="11"/>
        <v>1.685</v>
      </c>
      <c r="R48" s="108"/>
    </row>
    <row r="49" spans="1:18" ht="18" customHeight="1">
      <c r="A49" s="80" t="s">
        <v>190</v>
      </c>
      <c r="B49" s="84" t="s">
        <v>118</v>
      </c>
      <c r="C49" s="79">
        <f t="shared" si="9"/>
        <v>2</v>
      </c>
      <c r="D49" s="76">
        <v>0</v>
      </c>
      <c r="E49" s="76">
        <v>0</v>
      </c>
      <c r="F49" s="76">
        <v>0</v>
      </c>
      <c r="G49" s="363">
        <v>0</v>
      </c>
      <c r="H49" s="76">
        <v>0</v>
      </c>
      <c r="I49" s="76">
        <f>10-8</f>
        <v>2</v>
      </c>
      <c r="J49" s="76">
        <v>0</v>
      </c>
      <c r="K49" s="76"/>
      <c r="L49" s="76"/>
      <c r="M49" s="76">
        <v>0</v>
      </c>
      <c r="N49" s="71">
        <v>2955</v>
      </c>
      <c r="O49" s="430">
        <f t="shared" si="11"/>
        <v>5.91</v>
      </c>
      <c r="R49" s="108"/>
    </row>
    <row r="50" spans="1:18" ht="18" customHeight="1">
      <c r="A50" s="80" t="s">
        <v>191</v>
      </c>
      <c r="B50" s="84" t="s">
        <v>119</v>
      </c>
      <c r="C50" s="79">
        <f t="shared" si="9"/>
        <v>4</v>
      </c>
      <c r="D50" s="76">
        <v>0</v>
      </c>
      <c r="E50" s="76">
        <v>0</v>
      </c>
      <c r="F50" s="76">
        <v>0</v>
      </c>
      <c r="G50" s="77">
        <v>0</v>
      </c>
      <c r="H50" s="76">
        <v>0</v>
      </c>
      <c r="I50" s="76">
        <f>20-16</f>
        <v>4</v>
      </c>
      <c r="J50" s="76">
        <v>0</v>
      </c>
      <c r="K50" s="76"/>
      <c r="L50" s="76"/>
      <c r="M50" s="76">
        <v>0</v>
      </c>
      <c r="N50" s="71">
        <v>1525</v>
      </c>
      <c r="O50" s="430">
        <f t="shared" si="11"/>
        <v>6.1</v>
      </c>
      <c r="R50" s="108"/>
    </row>
    <row r="51" spans="1:18" ht="15.75" customHeight="1">
      <c r="A51" s="80" t="s">
        <v>192</v>
      </c>
      <c r="B51" s="84" t="s">
        <v>120</v>
      </c>
      <c r="C51" s="79">
        <f t="shared" si="9"/>
        <v>19</v>
      </c>
      <c r="D51" s="76">
        <v>0</v>
      </c>
      <c r="E51" s="76">
        <v>0</v>
      </c>
      <c r="F51" s="76">
        <v>0</v>
      </c>
      <c r="G51" s="77">
        <v>0</v>
      </c>
      <c r="H51" s="76">
        <v>0</v>
      </c>
      <c r="I51" s="76">
        <f>9+10</f>
        <v>19</v>
      </c>
      <c r="J51" s="76">
        <v>0</v>
      </c>
      <c r="K51" s="76"/>
      <c r="L51" s="76"/>
      <c r="M51" s="76">
        <v>0</v>
      </c>
      <c r="N51" s="71">
        <v>1725</v>
      </c>
      <c r="O51" s="430">
        <f t="shared" si="11"/>
        <v>32.775</v>
      </c>
      <c r="R51" s="108"/>
    </row>
    <row r="52" spans="1:18" ht="15.75" customHeight="1">
      <c r="A52" s="80" t="s">
        <v>193</v>
      </c>
      <c r="B52" s="84" t="s">
        <v>121</v>
      </c>
      <c r="C52" s="79">
        <f t="shared" si="9"/>
        <v>21</v>
      </c>
      <c r="D52" s="76">
        <v>0</v>
      </c>
      <c r="E52" s="76">
        <v>0</v>
      </c>
      <c r="F52" s="76">
        <v>0</v>
      </c>
      <c r="G52" s="77">
        <v>0</v>
      </c>
      <c r="H52" s="76">
        <v>0</v>
      </c>
      <c r="I52" s="76">
        <f>9+12</f>
        <v>21</v>
      </c>
      <c r="J52" s="76">
        <v>0</v>
      </c>
      <c r="K52" s="76"/>
      <c r="L52" s="76"/>
      <c r="M52" s="76">
        <v>0</v>
      </c>
      <c r="N52" s="71">
        <v>2525</v>
      </c>
      <c r="O52" s="430">
        <f t="shared" si="11"/>
        <v>53.025</v>
      </c>
      <c r="P52" s="430"/>
      <c r="R52" s="108"/>
    </row>
    <row r="53" spans="1:18" ht="15.75" customHeight="1">
      <c r="A53" s="80" t="s">
        <v>309</v>
      </c>
      <c r="B53" s="84" t="s">
        <v>326</v>
      </c>
      <c r="C53" s="79">
        <f t="shared" si="9"/>
        <v>940</v>
      </c>
      <c r="D53" s="76"/>
      <c r="E53" s="76"/>
      <c r="F53" s="76"/>
      <c r="G53" s="363"/>
      <c r="H53" s="76"/>
      <c r="I53" s="76"/>
      <c r="J53" s="76">
        <v>940</v>
      </c>
      <c r="K53" s="76"/>
      <c r="L53" s="76"/>
      <c r="M53" s="76"/>
      <c r="N53" s="490">
        <v>450</v>
      </c>
      <c r="O53" s="491">
        <f>J53*N53/1000</f>
        <v>423</v>
      </c>
      <c r="P53" s="430"/>
      <c r="R53" s="108"/>
    </row>
    <row r="54" spans="1:18" ht="27.75" customHeight="1">
      <c r="A54" s="80" t="s">
        <v>310</v>
      </c>
      <c r="B54" s="84" t="s">
        <v>327</v>
      </c>
      <c r="C54" s="79">
        <f t="shared" si="9"/>
        <v>600</v>
      </c>
      <c r="D54" s="76"/>
      <c r="E54" s="76"/>
      <c r="F54" s="76"/>
      <c r="G54" s="363"/>
      <c r="H54" s="76"/>
      <c r="I54" s="76"/>
      <c r="J54" s="76">
        <v>600</v>
      </c>
      <c r="K54" s="76"/>
      <c r="L54" s="76"/>
      <c r="M54" s="76"/>
      <c r="N54" s="490">
        <v>450</v>
      </c>
      <c r="O54" s="491">
        <f aca="true" t="shared" si="12" ref="O54:O63">J54*N54/1000</f>
        <v>270</v>
      </c>
      <c r="P54" s="430"/>
      <c r="R54" s="108"/>
    </row>
    <row r="55" spans="1:18" ht="15.75" customHeight="1">
      <c r="A55" s="80" t="s">
        <v>311</v>
      </c>
      <c r="B55" s="84" t="s">
        <v>328</v>
      </c>
      <c r="C55" s="79">
        <f t="shared" si="9"/>
        <v>233</v>
      </c>
      <c r="D55" s="76"/>
      <c r="E55" s="76"/>
      <c r="F55" s="76"/>
      <c r="G55" s="363"/>
      <c r="H55" s="76"/>
      <c r="I55" s="76"/>
      <c r="J55" s="76">
        <v>233</v>
      </c>
      <c r="K55" s="76"/>
      <c r="L55" s="76"/>
      <c r="M55" s="76"/>
      <c r="N55" s="490">
        <v>420</v>
      </c>
      <c r="O55" s="491">
        <f t="shared" si="12"/>
        <v>97.86</v>
      </c>
      <c r="P55" s="430"/>
      <c r="R55" s="108"/>
    </row>
    <row r="56" spans="1:18" ht="29.25" customHeight="1">
      <c r="A56" s="80" t="s">
        <v>312</v>
      </c>
      <c r="B56" s="84" t="s">
        <v>329</v>
      </c>
      <c r="C56" s="79">
        <f t="shared" si="9"/>
        <v>345</v>
      </c>
      <c r="D56" s="76"/>
      <c r="E56" s="76"/>
      <c r="F56" s="76"/>
      <c r="G56" s="363"/>
      <c r="H56" s="76"/>
      <c r="I56" s="76"/>
      <c r="J56" s="76">
        <v>345</v>
      </c>
      <c r="K56" s="76"/>
      <c r="L56" s="76"/>
      <c r="M56" s="76"/>
      <c r="N56" s="490">
        <v>540</v>
      </c>
      <c r="O56" s="491">
        <f t="shared" si="12"/>
        <v>186.3</v>
      </c>
      <c r="P56" s="430"/>
      <c r="R56" s="108"/>
    </row>
    <row r="57" spans="1:18" ht="29.25" customHeight="1">
      <c r="A57" s="80" t="s">
        <v>313</v>
      </c>
      <c r="B57" s="84" t="s">
        <v>330</v>
      </c>
      <c r="C57" s="79">
        <f t="shared" si="9"/>
        <v>890</v>
      </c>
      <c r="D57" s="76"/>
      <c r="E57" s="76"/>
      <c r="F57" s="76"/>
      <c r="G57" s="363"/>
      <c r="H57" s="76"/>
      <c r="I57" s="76"/>
      <c r="J57" s="76">
        <v>890</v>
      </c>
      <c r="K57" s="76"/>
      <c r="L57" s="76"/>
      <c r="M57" s="76"/>
      <c r="N57" s="490">
        <v>967.8</v>
      </c>
      <c r="O57" s="491">
        <f t="shared" si="12"/>
        <v>861.342</v>
      </c>
      <c r="P57" s="430"/>
      <c r="R57" s="108"/>
    </row>
    <row r="58" spans="1:18" ht="18" customHeight="1">
      <c r="A58" s="80" t="s">
        <v>314</v>
      </c>
      <c r="B58" s="84" t="s">
        <v>331</v>
      </c>
      <c r="C58" s="79">
        <f t="shared" si="9"/>
        <v>890</v>
      </c>
      <c r="D58" s="76"/>
      <c r="E58" s="76"/>
      <c r="F58" s="76"/>
      <c r="G58" s="363"/>
      <c r="H58" s="76"/>
      <c r="I58" s="76"/>
      <c r="J58" s="76">
        <v>890</v>
      </c>
      <c r="K58" s="76"/>
      <c r="L58" s="76"/>
      <c r="M58" s="76"/>
      <c r="N58" s="490">
        <v>580</v>
      </c>
      <c r="O58" s="491">
        <f t="shared" si="12"/>
        <v>516.2</v>
      </c>
      <c r="P58" s="430"/>
      <c r="R58" s="108"/>
    </row>
    <row r="59" spans="1:18" ht="18" customHeight="1">
      <c r="A59" s="80" t="s">
        <v>315</v>
      </c>
      <c r="B59" s="84" t="s">
        <v>339</v>
      </c>
      <c r="C59" s="79">
        <f t="shared" si="9"/>
        <v>37</v>
      </c>
      <c r="D59" s="76"/>
      <c r="E59" s="76"/>
      <c r="F59" s="76"/>
      <c r="G59" s="363"/>
      <c r="H59" s="76"/>
      <c r="I59" s="76"/>
      <c r="J59" s="76">
        <v>37</v>
      </c>
      <c r="K59" s="76"/>
      <c r="L59" s="76"/>
      <c r="M59" s="76"/>
      <c r="N59" s="490">
        <v>359.1</v>
      </c>
      <c r="O59" s="491">
        <f t="shared" si="12"/>
        <v>13.286700000000002</v>
      </c>
      <c r="P59" s="430"/>
      <c r="R59" s="108"/>
    </row>
    <row r="60" spans="1:18" ht="18" customHeight="1">
      <c r="A60" s="80" t="s">
        <v>316</v>
      </c>
      <c r="B60" s="84" t="s">
        <v>332</v>
      </c>
      <c r="C60" s="79">
        <f t="shared" si="9"/>
        <v>37</v>
      </c>
      <c r="D60" s="76"/>
      <c r="E60" s="76"/>
      <c r="F60" s="76"/>
      <c r="G60" s="363"/>
      <c r="H60" s="76"/>
      <c r="I60" s="76"/>
      <c r="J60" s="76">
        <v>37</v>
      </c>
      <c r="K60" s="76"/>
      <c r="L60" s="76"/>
      <c r="M60" s="76"/>
      <c r="N60" s="490">
        <v>360.1</v>
      </c>
      <c r="O60" s="491">
        <f t="shared" si="12"/>
        <v>13.3237</v>
      </c>
      <c r="P60" s="430"/>
      <c r="R60" s="108"/>
    </row>
    <row r="61" spans="1:18" ht="28.5" customHeight="1">
      <c r="A61" s="80" t="s">
        <v>317</v>
      </c>
      <c r="B61" s="84" t="s">
        <v>333</v>
      </c>
      <c r="C61" s="79">
        <f t="shared" si="9"/>
        <v>49</v>
      </c>
      <c r="D61" s="76"/>
      <c r="E61" s="76"/>
      <c r="F61" s="76"/>
      <c r="G61" s="363"/>
      <c r="H61" s="76"/>
      <c r="I61" s="76"/>
      <c r="J61" s="76">
        <v>49</v>
      </c>
      <c r="K61" s="76"/>
      <c r="L61" s="76"/>
      <c r="M61" s="76"/>
      <c r="N61" s="490">
        <v>361.9</v>
      </c>
      <c r="O61" s="491">
        <f t="shared" si="12"/>
        <v>17.7331</v>
      </c>
      <c r="P61" s="430"/>
      <c r="R61" s="108"/>
    </row>
    <row r="62" spans="1:18" ht="24.75" customHeight="1">
      <c r="A62" s="80" t="s">
        <v>318</v>
      </c>
      <c r="B62" s="84" t="s">
        <v>334</v>
      </c>
      <c r="C62" s="79">
        <f t="shared" si="9"/>
        <v>49</v>
      </c>
      <c r="D62" s="76"/>
      <c r="E62" s="76"/>
      <c r="F62" s="76"/>
      <c r="G62" s="363"/>
      <c r="H62" s="76"/>
      <c r="I62" s="76"/>
      <c r="J62" s="76">
        <v>49</v>
      </c>
      <c r="K62" s="76"/>
      <c r="L62" s="76"/>
      <c r="M62" s="76"/>
      <c r="N62" s="490">
        <v>361.9</v>
      </c>
      <c r="O62" s="491">
        <f t="shared" si="12"/>
        <v>17.7331</v>
      </c>
      <c r="P62" s="430"/>
      <c r="R62" s="108"/>
    </row>
    <row r="63" spans="1:18" ht="16.5" customHeight="1">
      <c r="A63" s="80" t="s">
        <v>319</v>
      </c>
      <c r="B63" s="84" t="s">
        <v>335</v>
      </c>
      <c r="C63" s="79">
        <f t="shared" si="9"/>
        <v>11</v>
      </c>
      <c r="D63" s="76"/>
      <c r="E63" s="76"/>
      <c r="F63" s="76"/>
      <c r="G63" s="363"/>
      <c r="H63" s="76"/>
      <c r="I63" s="76"/>
      <c r="J63" s="76">
        <v>11</v>
      </c>
      <c r="K63" s="76"/>
      <c r="L63" s="76"/>
      <c r="M63" s="76"/>
      <c r="N63" s="490">
        <v>300</v>
      </c>
      <c r="O63" s="491">
        <f t="shared" si="12"/>
        <v>3.3</v>
      </c>
      <c r="P63" s="430"/>
      <c r="R63" s="108"/>
    </row>
    <row r="64" spans="1:18" ht="27.75" customHeight="1">
      <c r="A64" s="80" t="s">
        <v>320</v>
      </c>
      <c r="B64" s="84" t="s">
        <v>336</v>
      </c>
      <c r="C64" s="79">
        <f t="shared" si="9"/>
        <v>0</v>
      </c>
      <c r="D64" s="76"/>
      <c r="E64" s="76"/>
      <c r="F64" s="76"/>
      <c r="G64" s="363"/>
      <c r="H64" s="76"/>
      <c r="I64" s="76"/>
      <c r="J64" s="431" t="s">
        <v>434</v>
      </c>
      <c r="K64" s="431"/>
      <c r="L64" s="431"/>
      <c r="M64" s="76"/>
      <c r="N64" s="490">
        <v>1600</v>
      </c>
      <c r="O64" s="491"/>
      <c r="R64" s="108"/>
    </row>
    <row r="65" spans="1:18" ht="24" customHeight="1">
      <c r="A65" s="80" t="s">
        <v>321</v>
      </c>
      <c r="B65" s="84" t="s">
        <v>337</v>
      </c>
      <c r="C65" s="79">
        <f t="shared" si="9"/>
        <v>0</v>
      </c>
      <c r="D65" s="76"/>
      <c r="E65" s="76"/>
      <c r="F65" s="76"/>
      <c r="G65" s="363"/>
      <c r="H65" s="76"/>
      <c r="I65" s="76"/>
      <c r="J65" s="431" t="s">
        <v>434</v>
      </c>
      <c r="K65" s="431"/>
      <c r="L65" s="431"/>
      <c r="M65" s="76"/>
      <c r="N65" s="490">
        <v>520</v>
      </c>
      <c r="O65" s="491"/>
      <c r="R65" s="108"/>
    </row>
    <row r="66" spans="1:18" ht="21" customHeight="1">
      <c r="A66" s="80" t="s">
        <v>322</v>
      </c>
      <c r="B66" s="84" t="s">
        <v>338</v>
      </c>
      <c r="C66" s="79">
        <f t="shared" si="9"/>
        <v>0</v>
      </c>
      <c r="D66" s="76"/>
      <c r="E66" s="76"/>
      <c r="F66" s="76"/>
      <c r="G66" s="363"/>
      <c r="H66" s="76"/>
      <c r="I66" s="76"/>
      <c r="J66" s="431" t="s">
        <v>434</v>
      </c>
      <c r="K66" s="431"/>
      <c r="L66" s="431"/>
      <c r="M66" s="76"/>
      <c r="N66" s="490">
        <v>1050</v>
      </c>
      <c r="O66" s="491"/>
      <c r="R66" s="108"/>
    </row>
    <row r="67" spans="1:18" ht="19.5" customHeight="1">
      <c r="A67" s="93">
        <v>9</v>
      </c>
      <c r="B67" s="294" t="s">
        <v>431</v>
      </c>
      <c r="C67" s="99">
        <f t="shared" si="9"/>
        <v>3220</v>
      </c>
      <c r="D67" s="99">
        <f>D68+D69</f>
        <v>3220</v>
      </c>
      <c r="E67" s="99">
        <f>E68+E69</f>
        <v>0</v>
      </c>
      <c r="F67" s="99">
        <f>F68+F69</f>
        <v>0</v>
      </c>
      <c r="G67" s="99">
        <f>G68+G69</f>
        <v>0</v>
      </c>
      <c r="H67" s="99">
        <f aca="true" t="shared" si="13" ref="H67:M67">H68+H69</f>
        <v>0</v>
      </c>
      <c r="I67" s="99">
        <f t="shared" si="13"/>
        <v>0</v>
      </c>
      <c r="J67" s="99">
        <f t="shared" si="13"/>
        <v>0</v>
      </c>
      <c r="K67" s="99">
        <f t="shared" si="13"/>
        <v>0</v>
      </c>
      <c r="L67" s="99"/>
      <c r="M67" s="99">
        <f t="shared" si="13"/>
        <v>0</v>
      </c>
      <c r="R67" s="108"/>
    </row>
    <row r="68" spans="1:18" ht="17.25" customHeight="1">
      <c r="A68" s="80" t="s">
        <v>187</v>
      </c>
      <c r="B68" s="494" t="s">
        <v>124</v>
      </c>
      <c r="C68" s="495">
        <f t="shared" si="9"/>
        <v>730</v>
      </c>
      <c r="D68" s="478">
        <v>730</v>
      </c>
      <c r="E68" s="76">
        <v>0</v>
      </c>
      <c r="F68" s="76">
        <v>0</v>
      </c>
      <c r="G68" s="363">
        <v>0</v>
      </c>
      <c r="H68" s="76">
        <v>0</v>
      </c>
      <c r="I68" s="76">
        <v>0</v>
      </c>
      <c r="J68" s="76">
        <v>0</v>
      </c>
      <c r="K68" s="76"/>
      <c r="L68" s="76"/>
      <c r="M68" s="76">
        <v>0</v>
      </c>
      <c r="N68" s="71">
        <v>1114.5</v>
      </c>
      <c r="O68" s="430">
        <f>N68*C68/1000</f>
        <v>813.585</v>
      </c>
      <c r="R68" s="108"/>
    </row>
    <row r="69" spans="1:18" ht="17.25" customHeight="1">
      <c r="A69" s="80" t="s">
        <v>188</v>
      </c>
      <c r="B69" s="494" t="s">
        <v>125</v>
      </c>
      <c r="C69" s="495">
        <f t="shared" si="9"/>
        <v>2490</v>
      </c>
      <c r="D69" s="478">
        <v>2490</v>
      </c>
      <c r="E69" s="76">
        <v>0</v>
      </c>
      <c r="F69" s="76">
        <v>0</v>
      </c>
      <c r="G69" s="363">
        <v>0</v>
      </c>
      <c r="H69" s="76">
        <v>0</v>
      </c>
      <c r="I69" s="76">
        <v>0</v>
      </c>
      <c r="J69" s="76">
        <v>0</v>
      </c>
      <c r="K69" s="76"/>
      <c r="L69" s="76"/>
      <c r="M69" s="76">
        <v>0</v>
      </c>
      <c r="N69" s="71">
        <v>1942.9</v>
      </c>
      <c r="O69" s="430">
        <f>N69*C69/1000</f>
        <v>4837.821</v>
      </c>
      <c r="R69" s="108"/>
    </row>
    <row r="70" spans="1:13" ht="15.75">
      <c r="A70" s="103">
        <v>10</v>
      </c>
      <c r="B70" s="294" t="s">
        <v>432</v>
      </c>
      <c r="C70" s="94">
        <f t="shared" si="9"/>
        <v>1400</v>
      </c>
      <c r="D70" s="94">
        <f aca="true" t="shared" si="14" ref="D70:M70">D71+D72</f>
        <v>0</v>
      </c>
      <c r="E70" s="94">
        <f t="shared" si="14"/>
        <v>0</v>
      </c>
      <c r="F70" s="94">
        <f t="shared" si="14"/>
        <v>0</v>
      </c>
      <c r="G70" s="94">
        <f t="shared" si="14"/>
        <v>1200</v>
      </c>
      <c r="H70" s="94">
        <f t="shared" si="14"/>
        <v>0</v>
      </c>
      <c r="I70" s="94">
        <f t="shared" si="14"/>
        <v>0</v>
      </c>
      <c r="J70" s="94">
        <f t="shared" si="14"/>
        <v>0</v>
      </c>
      <c r="K70" s="94">
        <f t="shared" si="14"/>
        <v>200</v>
      </c>
      <c r="L70" s="94"/>
      <c r="M70" s="94">
        <f t="shared" si="14"/>
        <v>0</v>
      </c>
    </row>
    <row r="71" spans="1:15" ht="15.75">
      <c r="A71" s="80" t="s">
        <v>340</v>
      </c>
      <c r="B71" s="84" t="s">
        <v>342</v>
      </c>
      <c r="C71" s="79">
        <f t="shared" si="9"/>
        <v>1200</v>
      </c>
      <c r="D71" s="81">
        <v>0</v>
      </c>
      <c r="E71" s="81">
        <v>0</v>
      </c>
      <c r="F71" s="81">
        <v>0</v>
      </c>
      <c r="G71" s="81">
        <v>1200</v>
      </c>
      <c r="H71" s="81">
        <v>0</v>
      </c>
      <c r="I71" s="81">
        <v>0</v>
      </c>
      <c r="J71" s="81">
        <v>0</v>
      </c>
      <c r="K71" s="81"/>
      <c r="L71" s="81"/>
      <c r="M71" s="81">
        <v>0</v>
      </c>
      <c r="N71" s="71">
        <v>2369.9</v>
      </c>
      <c r="O71" s="71">
        <f>N71*G71/1000</f>
        <v>2843.88</v>
      </c>
    </row>
    <row r="72" spans="1:15" ht="17.25" customHeight="1">
      <c r="A72" s="80" t="s">
        <v>341</v>
      </c>
      <c r="B72" s="84" t="s">
        <v>323</v>
      </c>
      <c r="C72" s="79">
        <f t="shared" si="9"/>
        <v>200</v>
      </c>
      <c r="D72" s="76"/>
      <c r="E72" s="76">
        <v>0</v>
      </c>
      <c r="F72" s="76">
        <v>0</v>
      </c>
      <c r="G72" s="363">
        <v>0</v>
      </c>
      <c r="H72" s="76">
        <v>0</v>
      </c>
      <c r="I72" s="76">
        <v>0</v>
      </c>
      <c r="J72" s="76">
        <v>0</v>
      </c>
      <c r="K72" s="76">
        <v>200</v>
      </c>
      <c r="L72" s="76"/>
      <c r="M72" s="76">
        <v>0</v>
      </c>
      <c r="N72" s="71">
        <v>1843.6</v>
      </c>
      <c r="O72" s="71">
        <f>N72*K72/1000</f>
        <v>368.72</v>
      </c>
    </row>
    <row r="73" ht="15">
      <c r="C73" s="340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8"/>
  <sheetViews>
    <sheetView view="pageBreakPreview" zoomScale="80" zoomScaleSheetLayoutView="80" zoomScalePageLayoutView="0" workbookViewId="0" topLeftCell="A1">
      <pane xSplit="3" ySplit="7" topLeftCell="D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9" sqref="D39"/>
    </sheetView>
  </sheetViews>
  <sheetFormatPr defaultColWidth="9.140625" defaultRowHeight="12.75"/>
  <cols>
    <col min="1" max="2" width="9.421875" style="125" customWidth="1"/>
    <col min="3" max="3" width="89.7109375" style="125" customWidth="1"/>
    <col min="4" max="4" width="18.8515625" style="125" customWidth="1"/>
    <col min="5" max="6" width="9.140625" style="125" customWidth="1"/>
    <col min="7" max="7" width="11.7109375" style="125" customWidth="1"/>
    <col min="8" max="16384" width="9.140625" style="125" customWidth="1"/>
  </cols>
  <sheetData>
    <row r="1" ht="15.75">
      <c r="D1" s="394" t="s">
        <v>290</v>
      </c>
    </row>
    <row r="3" spans="1:4" s="123" customFormat="1" ht="13.5" customHeight="1">
      <c r="A3" s="442"/>
      <c r="B3" s="124"/>
      <c r="C3" s="124"/>
      <c r="D3" s="124"/>
    </row>
    <row r="4" spans="2:4" s="123" customFormat="1" ht="31.5" customHeight="1">
      <c r="B4" s="739" t="s">
        <v>292</v>
      </c>
      <c r="C4" s="739"/>
      <c r="D4" s="739"/>
    </row>
    <row r="5" ht="15.75" thickBot="1"/>
    <row r="6" spans="1:4" ht="48.75" customHeight="1" thickBot="1" thickTop="1">
      <c r="A6" s="121" t="s">
        <v>346</v>
      </c>
      <c r="B6" s="121" t="s">
        <v>169</v>
      </c>
      <c r="C6" s="122" t="s">
        <v>84</v>
      </c>
      <c r="D6" s="118" t="s">
        <v>170</v>
      </c>
    </row>
    <row r="7" spans="1:4" ht="21.75" customHeight="1" thickBot="1" thickTop="1">
      <c r="A7" s="732" t="s">
        <v>244</v>
      </c>
      <c r="B7" s="732"/>
      <c r="C7" s="732"/>
      <c r="D7" s="732"/>
    </row>
    <row r="8" spans="1:4" ht="15.75" customHeight="1" thickTop="1">
      <c r="A8" s="13">
        <v>6</v>
      </c>
      <c r="B8" s="13"/>
      <c r="C8" s="14" t="s">
        <v>226</v>
      </c>
      <c r="D8" s="336">
        <v>380</v>
      </c>
    </row>
    <row r="9" spans="1:4" ht="15.75" customHeight="1">
      <c r="A9" s="13">
        <v>5</v>
      </c>
      <c r="B9" s="13"/>
      <c r="C9" s="14" t="s">
        <v>225</v>
      </c>
      <c r="D9" s="336">
        <f>114-26</f>
        <v>88</v>
      </c>
    </row>
    <row r="10" spans="1:4" ht="15.75" customHeight="1">
      <c r="A10" s="13">
        <v>4</v>
      </c>
      <c r="B10" s="13"/>
      <c r="C10" s="14" t="s">
        <v>224</v>
      </c>
      <c r="D10" s="336">
        <v>72</v>
      </c>
    </row>
    <row r="11" spans="1:4" ht="15.75">
      <c r="A11" s="13">
        <v>14</v>
      </c>
      <c r="B11" s="13"/>
      <c r="C11" s="14" t="s">
        <v>15</v>
      </c>
      <c r="D11" s="336">
        <f>369+20</f>
        <v>389</v>
      </c>
    </row>
    <row r="12" spans="1:15" ht="15.75">
      <c r="A12" s="13">
        <v>15</v>
      </c>
      <c r="B12" s="13"/>
      <c r="C12" s="14" t="s">
        <v>16</v>
      </c>
      <c r="D12" s="336">
        <v>186</v>
      </c>
      <c r="O12" s="125" t="s">
        <v>58</v>
      </c>
    </row>
    <row r="13" spans="1:4" ht="15.75">
      <c r="A13" s="13">
        <v>16</v>
      </c>
      <c r="B13" s="13"/>
      <c r="C13" s="14" t="s">
        <v>83</v>
      </c>
      <c r="D13" s="336">
        <v>39</v>
      </c>
    </row>
    <row r="14" spans="1:4" ht="15.75">
      <c r="A14" s="13">
        <v>17</v>
      </c>
      <c r="B14" s="13"/>
      <c r="C14" s="14" t="s">
        <v>49</v>
      </c>
      <c r="D14" s="336">
        <v>262</v>
      </c>
    </row>
    <row r="15" spans="1:4" ht="15.75">
      <c r="A15" s="13">
        <v>17</v>
      </c>
      <c r="B15" s="13"/>
      <c r="C15" s="14" t="s">
        <v>52</v>
      </c>
      <c r="D15" s="336">
        <v>44</v>
      </c>
    </row>
    <row r="16" spans="1:5" ht="15.75">
      <c r="A16" s="15">
        <v>24</v>
      </c>
      <c r="B16" s="15"/>
      <c r="C16" s="16" t="s">
        <v>23</v>
      </c>
      <c r="D16" s="338">
        <v>1092</v>
      </c>
      <c r="E16" s="128"/>
    </row>
    <row r="17" spans="1:5" ht="15.75">
      <c r="A17" s="15">
        <v>24</v>
      </c>
      <c r="B17" s="15"/>
      <c r="C17" s="16" t="s">
        <v>25</v>
      </c>
      <c r="D17" s="338">
        <v>315</v>
      </c>
      <c r="E17" s="128"/>
    </row>
    <row r="18" spans="1:4" ht="15.75">
      <c r="A18" s="15">
        <v>26</v>
      </c>
      <c r="B18" s="15"/>
      <c r="C18" s="16" t="s">
        <v>17</v>
      </c>
      <c r="D18" s="338">
        <f>642+270</f>
        <v>912</v>
      </c>
    </row>
    <row r="19" spans="1:4" ht="15.75">
      <c r="A19" s="15">
        <v>26</v>
      </c>
      <c r="B19" s="68"/>
      <c r="C19" s="413" t="s">
        <v>303</v>
      </c>
      <c r="D19" s="338"/>
    </row>
    <row r="20" spans="1:4" ht="60">
      <c r="A20" s="58">
        <f>A18</f>
        <v>26</v>
      </c>
      <c r="B20" s="58">
        <v>37</v>
      </c>
      <c r="C20" s="160" t="s">
        <v>350</v>
      </c>
      <c r="D20" s="449">
        <v>55</v>
      </c>
    </row>
    <row r="21" spans="1:4" s="161" customFormat="1" ht="64.5" customHeight="1">
      <c r="A21" s="58">
        <f>A18</f>
        <v>26</v>
      </c>
      <c r="B21" s="58">
        <v>38</v>
      </c>
      <c r="C21" s="160" t="s">
        <v>359</v>
      </c>
      <c r="D21" s="449">
        <v>40</v>
      </c>
    </row>
    <row r="22" spans="1:4" s="161" customFormat="1" ht="58.5" customHeight="1">
      <c r="A22" s="58">
        <f>A18</f>
        <v>26</v>
      </c>
      <c r="B22" s="58">
        <v>39</v>
      </c>
      <c r="C22" s="160" t="s">
        <v>358</v>
      </c>
      <c r="D22" s="449">
        <v>20</v>
      </c>
    </row>
    <row r="23" spans="1:4" s="161" customFormat="1" ht="62.25" customHeight="1">
      <c r="A23" s="58">
        <f>A18</f>
        <v>26</v>
      </c>
      <c r="B23" s="58">
        <v>40</v>
      </c>
      <c r="C23" s="160" t="s">
        <v>357</v>
      </c>
      <c r="D23" s="449">
        <v>20</v>
      </c>
    </row>
    <row r="24" spans="1:4" s="161" customFormat="1" ht="65.25" customHeight="1">
      <c r="A24" s="58">
        <f>A18</f>
        <v>26</v>
      </c>
      <c r="B24" s="58">
        <v>41</v>
      </c>
      <c r="C24" s="160" t="s">
        <v>356</v>
      </c>
      <c r="D24" s="449">
        <v>15</v>
      </c>
    </row>
    <row r="25" spans="1:4" s="161" customFormat="1" ht="61.5" customHeight="1">
      <c r="A25" s="58">
        <f>A24</f>
        <v>26</v>
      </c>
      <c r="B25" s="58">
        <v>42</v>
      </c>
      <c r="C25" s="160" t="s">
        <v>355</v>
      </c>
      <c r="D25" s="449">
        <v>5</v>
      </c>
    </row>
    <row r="26" spans="1:4" s="161" customFormat="1" ht="47.25" customHeight="1">
      <c r="A26" s="58">
        <f>A24</f>
        <v>26</v>
      </c>
      <c r="B26" s="58">
        <v>43</v>
      </c>
      <c r="C26" s="160" t="s">
        <v>354</v>
      </c>
      <c r="D26" s="449">
        <v>35</v>
      </c>
    </row>
    <row r="27" spans="1:4" s="161" customFormat="1" ht="48" customHeight="1">
      <c r="A27" s="58">
        <f>A26</f>
        <v>26</v>
      </c>
      <c r="B27" s="58">
        <v>44</v>
      </c>
      <c r="C27" s="160" t="s">
        <v>353</v>
      </c>
      <c r="D27" s="449">
        <v>25</v>
      </c>
    </row>
    <row r="28" spans="1:4" s="161" customFormat="1" ht="44.25" customHeight="1">
      <c r="A28" s="58">
        <f>A26</f>
        <v>26</v>
      </c>
      <c r="B28" s="58">
        <v>45</v>
      </c>
      <c r="C28" s="160" t="s">
        <v>352</v>
      </c>
      <c r="D28" s="449">
        <v>15</v>
      </c>
    </row>
    <row r="29" spans="1:4" s="161" customFormat="1" ht="46.5" customHeight="1">
      <c r="A29" s="58">
        <v>26</v>
      </c>
      <c r="B29" s="58">
        <v>49</v>
      </c>
      <c r="C29" s="160" t="s">
        <v>351</v>
      </c>
      <c r="D29" s="449">
        <v>7</v>
      </c>
    </row>
    <row r="30" spans="1:4" s="161" customFormat="1" ht="31.5" customHeight="1">
      <c r="A30" s="58">
        <f>A28</f>
        <v>26</v>
      </c>
      <c r="B30" s="58">
        <v>51</v>
      </c>
      <c r="C30" s="160" t="s">
        <v>436</v>
      </c>
      <c r="D30" s="449">
        <v>33</v>
      </c>
    </row>
    <row r="31" spans="1:4" ht="15.75">
      <c r="A31" s="13">
        <v>30</v>
      </c>
      <c r="B31" s="13"/>
      <c r="C31" s="14" t="s">
        <v>364</v>
      </c>
      <c r="D31" s="336">
        <v>142</v>
      </c>
    </row>
    <row r="32" spans="1:4" ht="31.5">
      <c r="A32" s="13">
        <v>32</v>
      </c>
      <c r="B32" s="13"/>
      <c r="C32" s="14" t="s">
        <v>365</v>
      </c>
      <c r="D32" s="336">
        <v>237</v>
      </c>
    </row>
    <row r="33" spans="1:4" ht="15.75">
      <c r="A33" s="13">
        <v>31</v>
      </c>
      <c r="B33" s="13"/>
      <c r="C33" s="14" t="s">
        <v>366</v>
      </c>
      <c r="D33" s="336">
        <v>142</v>
      </c>
    </row>
    <row r="34" spans="1:5" ht="15.75">
      <c r="A34" s="13">
        <v>34</v>
      </c>
      <c r="B34" s="13"/>
      <c r="C34" s="14" t="s">
        <v>26</v>
      </c>
      <c r="D34" s="336">
        <f>373+373+26</f>
        <v>772</v>
      </c>
      <c r="E34" s="128"/>
    </row>
    <row r="35" spans="1:5" ht="15.75">
      <c r="A35" s="13">
        <v>38</v>
      </c>
      <c r="B35" s="13"/>
      <c r="C35" s="14" t="s">
        <v>37</v>
      </c>
      <c r="D35" s="336">
        <f>302+28</f>
        <v>330</v>
      </c>
      <c r="E35" s="128"/>
    </row>
    <row r="36" spans="1:7" ht="15.75">
      <c r="A36" s="13">
        <v>41</v>
      </c>
      <c r="B36" s="13"/>
      <c r="C36" s="14" t="s">
        <v>18</v>
      </c>
      <c r="D36" s="336">
        <v>394</v>
      </c>
      <c r="G36" s="66"/>
    </row>
    <row r="37" spans="1:7" ht="15.75">
      <c r="A37" s="13">
        <v>42</v>
      </c>
      <c r="B37" s="13"/>
      <c r="C37" s="14" t="s">
        <v>80</v>
      </c>
      <c r="D37" s="336">
        <v>478</v>
      </c>
      <c r="E37" s="285"/>
      <c r="G37" s="66"/>
    </row>
    <row r="38" spans="1:7" ht="15.75">
      <c r="A38" s="13">
        <v>42</v>
      </c>
      <c r="B38" s="13"/>
      <c r="C38" s="14" t="s">
        <v>81</v>
      </c>
      <c r="D38" s="638">
        <f>422+24</f>
        <v>446</v>
      </c>
      <c r="E38" s="285"/>
      <c r="G38" s="66"/>
    </row>
    <row r="39" spans="1:7" ht="15.75">
      <c r="A39" s="13">
        <v>64</v>
      </c>
      <c r="B39" s="13"/>
      <c r="C39" s="14" t="s">
        <v>304</v>
      </c>
      <c r="D39" s="638">
        <f>204-24</f>
        <v>180</v>
      </c>
      <c r="G39" s="66"/>
    </row>
    <row r="40" spans="1:4" ht="15.75">
      <c r="A40" s="13">
        <v>50</v>
      </c>
      <c r="B40" s="13"/>
      <c r="C40" s="14" t="s">
        <v>347</v>
      </c>
      <c r="D40" s="336">
        <f>376+50</f>
        <v>426</v>
      </c>
    </row>
    <row r="41" spans="1:4" ht="15.75">
      <c r="A41" s="13">
        <v>52</v>
      </c>
      <c r="B41" s="13"/>
      <c r="C41" s="14" t="s">
        <v>19</v>
      </c>
      <c r="D41" s="336">
        <v>445</v>
      </c>
    </row>
    <row r="42" spans="1:4" ht="15.75">
      <c r="A42" s="13">
        <v>55</v>
      </c>
      <c r="B42" s="13"/>
      <c r="C42" s="14" t="s">
        <v>24</v>
      </c>
      <c r="D42" s="336">
        <v>513</v>
      </c>
    </row>
    <row r="43" spans="1:4" ht="15.75">
      <c r="A43" s="13">
        <v>63</v>
      </c>
      <c r="B43" s="13"/>
      <c r="C43" s="14" t="s">
        <v>20</v>
      </c>
      <c r="D43" s="336">
        <v>512</v>
      </c>
    </row>
    <row r="44" spans="1:4" ht="15.75">
      <c r="A44" s="13">
        <v>65</v>
      </c>
      <c r="B44" s="13"/>
      <c r="C44" s="14" t="s">
        <v>51</v>
      </c>
      <c r="D44" s="336">
        <v>15</v>
      </c>
    </row>
    <row r="45" spans="1:4" ht="15.75">
      <c r="A45" s="13">
        <v>67</v>
      </c>
      <c r="B45" s="13"/>
      <c r="C45" s="14" t="s">
        <v>27</v>
      </c>
      <c r="D45" s="336">
        <v>266</v>
      </c>
    </row>
    <row r="46" spans="1:4" ht="15.75">
      <c r="A46" s="13">
        <v>71</v>
      </c>
      <c r="B46" s="13"/>
      <c r="C46" s="14" t="s">
        <v>21</v>
      </c>
      <c r="D46" s="336">
        <v>1536</v>
      </c>
    </row>
    <row r="47" spans="1:5" ht="18" customHeight="1">
      <c r="A47" s="13">
        <v>74</v>
      </c>
      <c r="B47" s="8"/>
      <c r="C47" s="17" t="s">
        <v>85</v>
      </c>
      <c r="D47" s="336">
        <f>375</f>
        <v>375</v>
      </c>
      <c r="E47" s="128"/>
    </row>
    <row r="48" spans="1:7" ht="15.75">
      <c r="A48" s="8">
        <v>74</v>
      </c>
      <c r="B48" s="414"/>
      <c r="C48" s="413" t="s">
        <v>303</v>
      </c>
      <c r="D48" s="450"/>
      <c r="F48" s="296"/>
      <c r="G48" s="296"/>
    </row>
    <row r="49" spans="1:7" s="161" customFormat="1" ht="47.25" customHeight="1">
      <c r="A49" s="733">
        <f>A47</f>
        <v>74</v>
      </c>
      <c r="B49" s="733">
        <v>56</v>
      </c>
      <c r="C49" s="160" t="s">
        <v>360</v>
      </c>
      <c r="D49" s="736">
        <v>100</v>
      </c>
      <c r="F49" s="415"/>
      <c r="G49" s="415"/>
    </row>
    <row r="50" spans="1:7" s="161" customFormat="1" ht="61.5" customHeight="1">
      <c r="A50" s="734"/>
      <c r="B50" s="734"/>
      <c r="C50" s="160" t="s">
        <v>305</v>
      </c>
      <c r="D50" s="737"/>
      <c r="F50" s="415"/>
      <c r="G50" s="415"/>
    </row>
    <row r="51" spans="1:7" s="161" customFormat="1" ht="46.5" customHeight="1">
      <c r="A51" s="735"/>
      <c r="B51" s="735"/>
      <c r="C51" s="160" t="s">
        <v>306</v>
      </c>
      <c r="D51" s="738"/>
      <c r="F51" s="415"/>
      <c r="G51" s="415"/>
    </row>
    <row r="52" spans="1:7" s="161" customFormat="1" ht="63.75" customHeight="1">
      <c r="A52" s="416">
        <v>74</v>
      </c>
      <c r="B52" s="416">
        <v>59</v>
      </c>
      <c r="C52" s="160" t="s">
        <v>307</v>
      </c>
      <c r="D52" s="451">
        <v>90</v>
      </c>
      <c r="F52" s="415"/>
      <c r="G52" s="415"/>
    </row>
    <row r="53" spans="1:7" ht="15.75">
      <c r="A53" s="13">
        <f>A47</f>
        <v>74</v>
      </c>
      <c r="B53" s="13"/>
      <c r="C53" s="14" t="s">
        <v>308</v>
      </c>
      <c r="D53" s="336">
        <f>647+100</f>
        <v>747</v>
      </c>
      <c r="F53" s="296"/>
      <c r="G53" s="296"/>
    </row>
    <row r="54" spans="1:7" ht="15.75">
      <c r="A54" s="13">
        <v>77</v>
      </c>
      <c r="B54" s="13"/>
      <c r="C54" s="18" t="s">
        <v>48</v>
      </c>
      <c r="D54" s="452">
        <v>586</v>
      </c>
      <c r="F54" s="296"/>
      <c r="G54" s="296"/>
    </row>
    <row r="55" spans="1:7" ht="15.75">
      <c r="A55" s="19">
        <v>80</v>
      </c>
      <c r="B55" s="19"/>
      <c r="C55" s="18" t="s">
        <v>29</v>
      </c>
      <c r="D55" s="336">
        <f>2225+30</f>
        <v>2255</v>
      </c>
      <c r="E55" s="128"/>
      <c r="F55" s="296"/>
      <c r="G55" s="296"/>
    </row>
    <row r="56" spans="1:7" ht="15.75">
      <c r="A56" s="8">
        <v>82</v>
      </c>
      <c r="B56" s="19"/>
      <c r="C56" s="18" t="s">
        <v>67</v>
      </c>
      <c r="D56" s="336">
        <v>40</v>
      </c>
      <c r="F56" s="296"/>
      <c r="G56" s="296"/>
    </row>
    <row r="57" spans="1:7" ht="15.75">
      <c r="A57" s="15">
        <v>84</v>
      </c>
      <c r="B57" s="15"/>
      <c r="C57" s="16" t="s">
        <v>39</v>
      </c>
      <c r="D57" s="338">
        <v>100</v>
      </c>
      <c r="F57" s="296"/>
      <c r="G57" s="296"/>
    </row>
    <row r="58" spans="1:7" ht="16.5" thickBot="1">
      <c r="A58" s="20">
        <v>85</v>
      </c>
      <c r="B58" s="20"/>
      <c r="C58" s="17" t="s">
        <v>22</v>
      </c>
      <c r="D58" s="453">
        <v>230</v>
      </c>
      <c r="F58" s="296"/>
      <c r="G58" s="296"/>
    </row>
    <row r="59" spans="1:11" ht="16.5" thickTop="1">
      <c r="A59" s="21"/>
      <c r="B59" s="21"/>
      <c r="C59" s="22" t="s">
        <v>171</v>
      </c>
      <c r="D59" s="129">
        <f>SUM(D53:D58)+SUM(D31:D47)+SUM(D8:D18)</f>
        <v>14946</v>
      </c>
      <c r="E59" s="130">
        <v>14746</v>
      </c>
      <c r="F59" s="131">
        <f>E59-D59</f>
        <v>-200</v>
      </c>
      <c r="G59" s="131"/>
      <c r="H59" s="131"/>
      <c r="I59" s="132"/>
      <c r="J59" s="132"/>
      <c r="K59" s="132"/>
    </row>
    <row r="60" spans="1:11" ht="15.75">
      <c r="A60" s="417">
        <f>A37</f>
        <v>42</v>
      </c>
      <c r="B60" s="417"/>
      <c r="C60" s="418" t="s">
        <v>168</v>
      </c>
      <c r="D60" s="150">
        <f>D37+D38+D39</f>
        <v>1104</v>
      </c>
      <c r="E60" s="130"/>
      <c r="F60" s="131"/>
      <c r="G60" s="131"/>
      <c r="H60" s="131"/>
      <c r="I60" s="132"/>
      <c r="J60" s="132"/>
      <c r="K60" s="132"/>
    </row>
    <row r="61" spans="1:11" s="136" customFormat="1" ht="16.5" thickBot="1">
      <c r="A61" s="23"/>
      <c r="B61" s="23"/>
      <c r="C61" s="120" t="s">
        <v>167</v>
      </c>
      <c r="D61" s="133">
        <f>SUM(D49:D52)+SUM(D19:D30)</f>
        <v>460</v>
      </c>
      <c r="E61" s="125"/>
      <c r="F61" s="134"/>
      <c r="G61" s="134"/>
      <c r="H61" s="134"/>
      <c r="I61" s="135"/>
      <c r="J61" s="135"/>
      <c r="K61" s="135"/>
    </row>
    <row r="62" spans="2:11" ht="17.25" hidden="1" thickBot="1" thickTop="1">
      <c r="B62" s="731"/>
      <c r="C62" s="732"/>
      <c r="D62" s="732"/>
      <c r="F62" s="132"/>
      <c r="G62" s="132"/>
      <c r="H62" s="132"/>
      <c r="I62" s="132"/>
      <c r="J62" s="132"/>
      <c r="K62" s="132"/>
    </row>
    <row r="63" spans="1:11" ht="17.25" hidden="1" thickBot="1" thickTop="1">
      <c r="A63" s="24"/>
      <c r="B63" s="24"/>
      <c r="C63" s="25"/>
      <c r="D63" s="24"/>
      <c r="F63" s="132"/>
      <c r="G63" s="132"/>
      <c r="H63" s="132"/>
      <c r="I63" s="132"/>
      <c r="J63" s="132"/>
      <c r="K63" s="132"/>
    </row>
    <row r="64" spans="1:11" s="137" customFormat="1" ht="17.25" hidden="1" thickBot="1" thickTop="1">
      <c r="A64" s="68"/>
      <c r="B64" s="68"/>
      <c r="C64" s="92"/>
      <c r="D64" s="68"/>
      <c r="F64" s="132"/>
      <c r="G64" s="138"/>
      <c r="H64" s="138"/>
      <c r="I64" s="138"/>
      <c r="J64" s="138"/>
      <c r="K64" s="138"/>
    </row>
    <row r="65" spans="1:11" ht="20.25" customHeight="1" hidden="1">
      <c r="A65" s="15"/>
      <c r="B65" s="15"/>
      <c r="C65" s="16"/>
      <c r="D65" s="15"/>
      <c r="F65" s="132"/>
      <c r="G65" s="132"/>
      <c r="H65" s="132"/>
      <c r="I65" s="132"/>
      <c r="J65" s="132"/>
      <c r="K65" s="132"/>
    </row>
    <row r="66" spans="1:11" ht="17.25" hidden="1" thickBot="1" thickTop="1">
      <c r="A66" s="91"/>
      <c r="B66" s="91"/>
      <c r="C66" s="14"/>
      <c r="D66" s="13"/>
      <c r="F66" s="132"/>
      <c r="G66" s="132"/>
      <c r="H66" s="132"/>
      <c r="I66" s="132"/>
      <c r="J66" s="132"/>
      <c r="K66" s="132"/>
    </row>
    <row r="67" spans="1:11" ht="17.25" hidden="1" thickBot="1" thickTop="1">
      <c r="A67" s="21"/>
      <c r="B67" s="21"/>
      <c r="C67" s="22"/>
      <c r="D67" s="159"/>
      <c r="E67" s="130"/>
      <c r="F67" s="131"/>
      <c r="G67" s="131"/>
      <c r="H67" s="131"/>
      <c r="I67" s="132"/>
      <c r="J67" s="132"/>
      <c r="K67" s="132"/>
    </row>
    <row r="68" spans="1:11" ht="17.25" hidden="1" thickBot="1" thickTop="1">
      <c r="A68" s="156"/>
      <c r="B68" s="156"/>
      <c r="C68" s="157"/>
      <c r="D68" s="158"/>
      <c r="E68" s="130"/>
      <c r="F68" s="131"/>
      <c r="G68" s="131"/>
      <c r="H68" s="131"/>
      <c r="I68" s="132"/>
      <c r="J68" s="132"/>
      <c r="K68" s="132"/>
    </row>
    <row r="69" spans="1:11" ht="22.5" customHeight="1" thickBot="1" thickTop="1">
      <c r="A69" s="732" t="s">
        <v>508</v>
      </c>
      <c r="B69" s="732"/>
      <c r="C69" s="732"/>
      <c r="D69" s="732"/>
      <c r="F69" s="132"/>
      <c r="G69" s="132"/>
      <c r="H69" s="132"/>
      <c r="I69" s="132"/>
      <c r="J69" s="132"/>
      <c r="K69" s="132"/>
    </row>
    <row r="70" spans="1:7" ht="16.5" thickTop="1">
      <c r="A70" s="29">
        <v>22</v>
      </c>
      <c r="B70" s="29"/>
      <c r="C70" s="30" t="s">
        <v>34</v>
      </c>
      <c r="D70" s="140">
        <v>88</v>
      </c>
      <c r="F70" s="296"/>
      <c r="G70" s="296"/>
    </row>
    <row r="71" spans="1:7" ht="15.75">
      <c r="A71" s="29">
        <v>19</v>
      </c>
      <c r="B71" s="29"/>
      <c r="C71" s="30" t="s">
        <v>72</v>
      </c>
      <c r="D71" s="140">
        <v>36</v>
      </c>
      <c r="F71" s="296"/>
      <c r="G71" s="296"/>
    </row>
    <row r="72" spans="1:7" ht="15.75">
      <c r="A72" s="36">
        <v>21</v>
      </c>
      <c r="B72" s="36"/>
      <c r="C72" s="37" t="s">
        <v>227</v>
      </c>
      <c r="D72" s="191">
        <v>64</v>
      </c>
      <c r="F72" s="296"/>
      <c r="G72" s="296"/>
    </row>
    <row r="73" spans="1:7" ht="15.75">
      <c r="A73" s="36">
        <v>23</v>
      </c>
      <c r="B73" s="36"/>
      <c r="C73" s="37" t="s">
        <v>73</v>
      </c>
      <c r="D73" s="191">
        <v>23</v>
      </c>
      <c r="F73" s="296"/>
      <c r="G73" s="296"/>
    </row>
    <row r="74" spans="1:7" ht="15.75">
      <c r="A74" s="29">
        <v>24</v>
      </c>
      <c r="B74" s="29"/>
      <c r="C74" s="30" t="s">
        <v>28</v>
      </c>
      <c r="D74" s="140">
        <v>417</v>
      </c>
      <c r="F74" s="296"/>
      <c r="G74" s="296"/>
    </row>
    <row r="75" spans="1:7" ht="15.75">
      <c r="A75" s="29">
        <v>30</v>
      </c>
      <c r="B75" s="29"/>
      <c r="C75" s="30" t="s">
        <v>70</v>
      </c>
      <c r="D75" s="140">
        <v>36</v>
      </c>
      <c r="F75" s="296"/>
      <c r="G75" s="296"/>
    </row>
    <row r="76" spans="1:7" ht="15.75">
      <c r="A76" s="29">
        <v>34</v>
      </c>
      <c r="B76" s="29"/>
      <c r="C76" s="30" t="s">
        <v>31</v>
      </c>
      <c r="D76" s="140">
        <v>119</v>
      </c>
      <c r="F76" s="296"/>
      <c r="G76" s="296"/>
    </row>
    <row r="77" spans="1:7" ht="15.75">
      <c r="A77" s="29">
        <v>38</v>
      </c>
      <c r="B77" s="29"/>
      <c r="C77" s="30" t="s">
        <v>37</v>
      </c>
      <c r="D77" s="140">
        <v>42</v>
      </c>
      <c r="F77" s="296"/>
      <c r="G77" s="296"/>
    </row>
    <row r="78" spans="1:7" ht="15.75">
      <c r="A78" s="29">
        <v>63</v>
      </c>
      <c r="B78" s="29"/>
      <c r="C78" s="30" t="s">
        <v>20</v>
      </c>
      <c r="D78" s="140">
        <v>28</v>
      </c>
      <c r="F78" s="296"/>
      <c r="G78" s="296"/>
    </row>
    <row r="79" spans="1:7" ht="15.75">
      <c r="A79" s="29">
        <v>39</v>
      </c>
      <c r="B79" s="29"/>
      <c r="C79" s="30" t="s">
        <v>30</v>
      </c>
      <c r="D79" s="140">
        <v>130</v>
      </c>
      <c r="F79" s="296"/>
      <c r="G79" s="296"/>
    </row>
    <row r="80" spans="1:7" ht="15.75">
      <c r="A80" s="29">
        <v>55</v>
      </c>
      <c r="B80" s="29"/>
      <c r="C80" s="30" t="s">
        <v>24</v>
      </c>
      <c r="D80" s="140">
        <v>398</v>
      </c>
      <c r="E80" s="128"/>
      <c r="F80" s="296"/>
      <c r="G80" s="296"/>
    </row>
    <row r="81" spans="1:7" ht="15.75">
      <c r="A81" s="29">
        <v>74</v>
      </c>
      <c r="B81" s="29"/>
      <c r="C81" s="30" t="s">
        <v>66</v>
      </c>
      <c r="D81" s="140">
        <v>64</v>
      </c>
      <c r="F81" s="296"/>
      <c r="G81" s="296"/>
    </row>
    <row r="82" spans="1:7" ht="16.5" thickBot="1">
      <c r="A82" s="29">
        <v>82</v>
      </c>
      <c r="B82" s="29"/>
      <c r="C82" s="30" t="s">
        <v>67</v>
      </c>
      <c r="D82" s="140">
        <v>3</v>
      </c>
      <c r="F82" s="296"/>
      <c r="G82" s="296"/>
    </row>
    <row r="83" spans="1:8" ht="17.25" thickBot="1" thickTop="1">
      <c r="A83" s="31"/>
      <c r="B83" s="31"/>
      <c r="C83" s="32" t="s">
        <v>7</v>
      </c>
      <c r="D83" s="141">
        <f>SUM(D70:D82)</f>
        <v>1448</v>
      </c>
      <c r="E83" s="130"/>
      <c r="F83" s="131"/>
      <c r="G83" s="131"/>
      <c r="H83" s="130"/>
    </row>
    <row r="84" spans="1:7" ht="17.25" customHeight="1" thickBot="1" thickTop="1">
      <c r="A84" s="732" t="s">
        <v>502</v>
      </c>
      <c r="B84" s="732"/>
      <c r="C84" s="732"/>
      <c r="D84" s="732"/>
      <c r="F84" s="296"/>
      <c r="G84" s="296"/>
    </row>
    <row r="85" spans="1:7" ht="16.5" thickTop="1">
      <c r="A85" s="33">
        <v>3</v>
      </c>
      <c r="B85" s="33"/>
      <c r="C85" s="34" t="s">
        <v>82</v>
      </c>
      <c r="D85" s="288">
        <v>104</v>
      </c>
      <c r="F85" s="296"/>
      <c r="G85" s="131"/>
    </row>
    <row r="86" spans="1:7" s="137" customFormat="1" ht="15.75">
      <c r="A86" s="35">
        <v>6</v>
      </c>
      <c r="B86" s="35"/>
      <c r="C86" s="30" t="s">
        <v>226</v>
      </c>
      <c r="D86" s="287">
        <v>1432</v>
      </c>
      <c r="E86" s="125"/>
      <c r="F86" s="297"/>
      <c r="G86" s="298"/>
    </row>
    <row r="87" spans="1:7" ht="15.75">
      <c r="A87" s="29">
        <v>4</v>
      </c>
      <c r="B87" s="29"/>
      <c r="C87" s="30" t="s">
        <v>224</v>
      </c>
      <c r="D87" s="287">
        <v>1104</v>
      </c>
      <c r="F87" s="296"/>
      <c r="G87" s="131"/>
    </row>
    <row r="88" spans="1:7" ht="15.75">
      <c r="A88" s="36">
        <v>5</v>
      </c>
      <c r="B88" s="36"/>
      <c r="C88" s="37" t="s">
        <v>225</v>
      </c>
      <c r="D88" s="286">
        <v>854</v>
      </c>
      <c r="F88" s="296"/>
      <c r="G88" s="131"/>
    </row>
    <row r="89" spans="1:7" ht="15.75">
      <c r="A89" s="36">
        <v>39</v>
      </c>
      <c r="B89" s="36"/>
      <c r="C89" s="37" t="s">
        <v>30</v>
      </c>
      <c r="D89" s="286">
        <v>295</v>
      </c>
      <c r="F89" s="296"/>
      <c r="G89" s="131"/>
    </row>
    <row r="90" spans="1:7" ht="15.75">
      <c r="A90" s="29">
        <v>22</v>
      </c>
      <c r="B90" s="29"/>
      <c r="C90" s="30" t="s">
        <v>34</v>
      </c>
      <c r="D90" s="140">
        <v>61</v>
      </c>
      <c r="F90" s="296"/>
      <c r="G90" s="131"/>
    </row>
    <row r="91" spans="1:7" ht="15.75">
      <c r="A91" s="29">
        <v>19</v>
      </c>
      <c r="B91" s="29"/>
      <c r="C91" s="30" t="s">
        <v>72</v>
      </c>
      <c r="D91" s="140">
        <v>14</v>
      </c>
      <c r="F91" s="296"/>
      <c r="G91" s="131"/>
    </row>
    <row r="92" spans="1:7" ht="15.75">
      <c r="A92" s="36">
        <v>21</v>
      </c>
      <c r="B92" s="36"/>
      <c r="C92" s="37" t="s">
        <v>227</v>
      </c>
      <c r="D92" s="140">
        <v>46</v>
      </c>
      <c r="F92" s="296"/>
      <c r="G92" s="131"/>
    </row>
    <row r="93" spans="1:7" ht="15.75">
      <c r="A93" s="36">
        <v>23</v>
      </c>
      <c r="B93" s="36"/>
      <c r="C93" s="37" t="s">
        <v>73</v>
      </c>
      <c r="D93" s="140">
        <v>20</v>
      </c>
      <c r="F93" s="296"/>
      <c r="G93" s="131"/>
    </row>
    <row r="94" spans="1:7" ht="15.75">
      <c r="A94" s="29">
        <v>24</v>
      </c>
      <c r="B94" s="29"/>
      <c r="C94" s="30" t="s">
        <v>28</v>
      </c>
      <c r="D94" s="140">
        <v>503</v>
      </c>
      <c r="F94" s="296"/>
      <c r="G94" s="131"/>
    </row>
    <row r="95" spans="1:7" ht="15.75">
      <c r="A95" s="29">
        <v>30</v>
      </c>
      <c r="B95" s="29"/>
      <c r="C95" s="30" t="s">
        <v>70</v>
      </c>
      <c r="D95" s="140">
        <v>43</v>
      </c>
      <c r="F95" s="296"/>
      <c r="G95" s="131"/>
    </row>
    <row r="96" spans="1:7" ht="15.75">
      <c r="A96" s="29">
        <v>34</v>
      </c>
      <c r="B96" s="29"/>
      <c r="C96" s="30" t="s">
        <v>31</v>
      </c>
      <c r="D96" s="140">
        <v>61</v>
      </c>
      <c r="F96" s="296"/>
      <c r="G96" s="131"/>
    </row>
    <row r="97" spans="1:7" ht="15.75">
      <c r="A97" s="29">
        <v>38</v>
      </c>
      <c r="B97" s="29"/>
      <c r="C97" s="30" t="s">
        <v>37</v>
      </c>
      <c r="D97" s="140">
        <v>38</v>
      </c>
      <c r="F97" s="296"/>
      <c r="G97" s="131"/>
    </row>
    <row r="98" spans="1:7" ht="15.75">
      <c r="A98" s="29">
        <v>63</v>
      </c>
      <c r="B98" s="29"/>
      <c r="C98" s="30" t="s">
        <v>20</v>
      </c>
      <c r="D98" s="140">
        <v>26</v>
      </c>
      <c r="F98" s="296"/>
      <c r="G98" s="131"/>
    </row>
    <row r="99" spans="1:7" ht="15.75">
      <c r="A99" s="29">
        <v>55</v>
      </c>
      <c r="B99" s="29"/>
      <c r="C99" s="30" t="s">
        <v>24</v>
      </c>
      <c r="D99" s="140">
        <v>217</v>
      </c>
      <c r="F99" s="296"/>
      <c r="G99" s="131"/>
    </row>
    <row r="100" spans="1:7" ht="15.75">
      <c r="A100" s="29">
        <v>74</v>
      </c>
      <c r="B100" s="29"/>
      <c r="C100" s="30" t="s">
        <v>66</v>
      </c>
      <c r="D100" s="140">
        <v>46</v>
      </c>
      <c r="F100" s="296"/>
      <c r="G100" s="131"/>
    </row>
    <row r="101" spans="1:7" ht="15.75">
      <c r="A101" s="29">
        <v>82</v>
      </c>
      <c r="B101" s="29"/>
      <c r="C101" s="30" t="s">
        <v>67</v>
      </c>
      <c r="D101" s="140">
        <v>17</v>
      </c>
      <c r="F101" s="296"/>
      <c r="G101" s="131"/>
    </row>
    <row r="102" spans="1:8" ht="16.5" thickBot="1">
      <c r="A102" s="39"/>
      <c r="B102" s="39"/>
      <c r="C102" s="40" t="s">
        <v>7</v>
      </c>
      <c r="D102" s="144">
        <f>SUM(D85:D101)</f>
        <v>4881</v>
      </c>
      <c r="E102" s="130"/>
      <c r="F102" s="131"/>
      <c r="G102" s="131"/>
      <c r="H102" s="130"/>
    </row>
    <row r="103" spans="2:7" ht="17.25" hidden="1" thickBot="1" thickTop="1">
      <c r="B103" s="731"/>
      <c r="C103" s="732"/>
      <c r="D103" s="732"/>
      <c r="F103" s="296"/>
      <c r="G103" s="296"/>
    </row>
    <row r="104" spans="1:7" ht="17.25" hidden="1" thickBot="1" thickTop="1">
      <c r="A104" s="41"/>
      <c r="B104" s="41"/>
      <c r="C104" s="42"/>
      <c r="D104" s="145"/>
      <c r="F104" s="296"/>
      <c r="G104" s="296"/>
    </row>
    <row r="105" spans="1:8" ht="17.25" hidden="1" thickBot="1" thickTop="1">
      <c r="A105" s="39"/>
      <c r="B105" s="39"/>
      <c r="C105" s="40"/>
      <c r="D105" s="144"/>
      <c r="F105" s="131"/>
      <c r="G105" s="131"/>
      <c r="H105" s="130"/>
    </row>
    <row r="106" spans="2:7" ht="17.25" hidden="1" thickBot="1" thickTop="1">
      <c r="B106" s="731"/>
      <c r="C106" s="732"/>
      <c r="D106" s="732"/>
      <c r="F106" s="296"/>
      <c r="G106" s="296"/>
    </row>
    <row r="107" spans="1:7" ht="17.25" hidden="1" thickBot="1" thickTop="1">
      <c r="A107" s="33"/>
      <c r="B107" s="33"/>
      <c r="C107" s="48"/>
      <c r="D107" s="24"/>
      <c r="F107" s="296"/>
      <c r="G107" s="296"/>
    </row>
    <row r="108" spans="1:7" ht="17.25" hidden="1" thickBot="1" thickTop="1">
      <c r="A108" s="36"/>
      <c r="B108" s="36"/>
      <c r="C108" s="49"/>
      <c r="D108" s="286"/>
      <c r="F108" s="66"/>
      <c r="G108" s="296"/>
    </row>
    <row r="109" spans="1:7" ht="17.25" hidden="1" thickBot="1" thickTop="1">
      <c r="A109" s="36"/>
      <c r="B109" s="36"/>
      <c r="C109" s="49"/>
      <c r="D109" s="13"/>
      <c r="F109" s="66"/>
      <c r="G109" s="296"/>
    </row>
    <row r="110" spans="1:7" s="137" customFormat="1" ht="17.25" hidden="1" thickBot="1" thickTop="1">
      <c r="A110" s="50"/>
      <c r="B110" s="50"/>
      <c r="C110" s="49"/>
      <c r="D110" s="286"/>
      <c r="E110" s="125"/>
      <c r="F110" s="138"/>
      <c r="G110" s="138"/>
    </row>
    <row r="111" spans="1:7" ht="17.25" hidden="1" thickBot="1" thickTop="1">
      <c r="A111" s="36"/>
      <c r="B111" s="36"/>
      <c r="C111" s="49"/>
      <c r="D111" s="13"/>
      <c r="F111" s="296"/>
      <c r="G111" s="296"/>
    </row>
    <row r="112" spans="1:7" ht="17.25" hidden="1" thickBot="1" thickTop="1">
      <c r="A112" s="36"/>
      <c r="B112" s="36"/>
      <c r="C112" s="49"/>
      <c r="D112" s="13"/>
      <c r="E112" s="128"/>
      <c r="F112" s="296"/>
      <c r="G112" s="296"/>
    </row>
    <row r="113" spans="1:7" ht="17.25" hidden="1" thickBot="1" thickTop="1">
      <c r="A113" s="38"/>
      <c r="B113" s="38"/>
      <c r="C113" s="51"/>
      <c r="D113" s="59"/>
      <c r="F113" s="296"/>
      <c r="G113" s="296"/>
    </row>
    <row r="114" spans="1:8" ht="17.25" hidden="1" thickBot="1" thickTop="1">
      <c r="A114" s="39"/>
      <c r="B114" s="39"/>
      <c r="C114" s="52"/>
      <c r="D114" s="146"/>
      <c r="F114" s="131"/>
      <c r="G114" s="131"/>
      <c r="H114" s="130"/>
    </row>
    <row r="115" spans="2:7" ht="17.25" hidden="1" thickBot="1" thickTop="1">
      <c r="B115" s="731"/>
      <c r="C115" s="732"/>
      <c r="D115" s="732"/>
      <c r="F115" s="296"/>
      <c r="G115" s="296"/>
    </row>
    <row r="116" spans="1:7" ht="17.25" hidden="1" thickBot="1" thickTop="1">
      <c r="A116" s="29"/>
      <c r="B116" s="29"/>
      <c r="C116" s="30"/>
      <c r="D116" s="287"/>
      <c r="F116" s="296"/>
      <c r="G116" s="296"/>
    </row>
    <row r="117" spans="1:7" ht="17.25" hidden="1" thickBot="1" thickTop="1">
      <c r="A117" s="36"/>
      <c r="B117" s="36"/>
      <c r="C117" s="37"/>
      <c r="D117" s="13"/>
      <c r="F117" s="296"/>
      <c r="G117" s="296"/>
    </row>
    <row r="118" spans="1:7" s="137" customFormat="1" ht="17.25" hidden="1" thickBot="1" thickTop="1">
      <c r="A118" s="50"/>
      <c r="B118" s="50"/>
      <c r="C118" s="37"/>
      <c r="D118" s="286"/>
      <c r="E118" s="125"/>
      <c r="F118" s="66"/>
      <c r="G118" s="138"/>
    </row>
    <row r="119" spans="1:7" ht="17.25" hidden="1" thickBot="1" thickTop="1">
      <c r="A119" s="36"/>
      <c r="B119" s="36"/>
      <c r="C119" s="37"/>
      <c r="D119" s="286"/>
      <c r="F119" s="66"/>
      <c r="G119" s="138"/>
    </row>
    <row r="120" spans="1:7" ht="17.25" hidden="1" thickBot="1" thickTop="1">
      <c r="A120" s="36"/>
      <c r="B120" s="36"/>
      <c r="C120" s="37"/>
      <c r="D120" s="286"/>
      <c r="F120" s="296"/>
      <c r="G120" s="296"/>
    </row>
    <row r="121" spans="1:7" ht="17.25" hidden="1" thickBot="1" thickTop="1">
      <c r="A121" s="36"/>
      <c r="B121" s="36"/>
      <c r="C121" s="37"/>
      <c r="D121" s="13"/>
      <c r="F121" s="296"/>
      <c r="G121" s="296"/>
    </row>
    <row r="122" spans="1:7" ht="17.25" hidden="1" thickBot="1" thickTop="1">
      <c r="A122" s="29"/>
      <c r="B122" s="29"/>
      <c r="C122" s="30"/>
      <c r="D122" s="15"/>
      <c r="F122" s="296"/>
      <c r="G122" s="296"/>
    </row>
    <row r="123" spans="1:7" ht="17.25" hidden="1" thickBot="1" thickTop="1">
      <c r="A123" s="53"/>
      <c r="B123" s="53"/>
      <c r="C123" s="37"/>
      <c r="D123" s="13"/>
      <c r="F123" s="296"/>
      <c r="G123" s="296"/>
    </row>
    <row r="124" spans="1:7" ht="17.25" hidden="1" thickBot="1" thickTop="1">
      <c r="A124" s="54"/>
      <c r="B124" s="54"/>
      <c r="C124" s="46"/>
      <c r="D124" s="20"/>
      <c r="F124" s="296"/>
      <c r="G124" s="296"/>
    </row>
    <row r="125" spans="1:8" ht="17.25" hidden="1" thickBot="1" thickTop="1">
      <c r="A125" s="31"/>
      <c r="B125" s="31"/>
      <c r="C125" s="32"/>
      <c r="D125" s="139"/>
      <c r="F125" s="131"/>
      <c r="G125" s="131"/>
      <c r="H125" s="130"/>
    </row>
    <row r="126" spans="2:7" ht="17.25" hidden="1" thickBot="1" thickTop="1">
      <c r="B126" s="731"/>
      <c r="C126" s="732"/>
      <c r="D126" s="732"/>
      <c r="F126" s="296"/>
      <c r="G126" s="296"/>
    </row>
    <row r="127" spans="1:7" ht="17.25" hidden="1" thickBot="1" thickTop="1">
      <c r="A127" s="33"/>
      <c r="B127" s="33"/>
      <c r="C127" s="48"/>
      <c r="D127" s="288"/>
      <c r="F127" s="296"/>
      <c r="G127" s="296"/>
    </row>
    <row r="128" spans="1:7" ht="17.25" hidden="1" thickBot="1" thickTop="1">
      <c r="A128" s="36"/>
      <c r="B128" s="36"/>
      <c r="C128" s="49"/>
      <c r="D128" s="13"/>
      <c r="F128" s="296"/>
      <c r="G128" s="296"/>
    </row>
    <row r="129" spans="1:7" ht="17.25" hidden="1" thickBot="1" thickTop="1">
      <c r="A129" s="36"/>
      <c r="B129" s="36"/>
      <c r="C129" s="49"/>
      <c r="D129" s="286"/>
      <c r="F129" s="66"/>
      <c r="G129" s="138"/>
    </row>
    <row r="130" spans="1:7" ht="17.25" hidden="1" thickBot="1" thickTop="1">
      <c r="A130" s="36"/>
      <c r="B130" s="36"/>
      <c r="C130" s="49"/>
      <c r="D130" s="286"/>
      <c r="F130" s="66"/>
      <c r="G130" s="138"/>
    </row>
    <row r="131" spans="1:7" ht="17.25" hidden="1" thickBot="1" thickTop="1">
      <c r="A131" s="36"/>
      <c r="B131" s="36"/>
      <c r="C131" s="49"/>
      <c r="D131" s="13"/>
      <c r="F131" s="296"/>
      <c r="G131" s="296"/>
    </row>
    <row r="132" spans="1:7" ht="17.25" hidden="1" thickBot="1" thickTop="1">
      <c r="A132" s="36"/>
      <c r="B132" s="36"/>
      <c r="C132" s="49"/>
      <c r="D132" s="13"/>
      <c r="F132" s="296"/>
      <c r="G132" s="296"/>
    </row>
    <row r="133" spans="1:7" ht="17.25" hidden="1" thickBot="1" thickTop="1">
      <c r="A133" s="44"/>
      <c r="B133" s="44"/>
      <c r="C133" s="37"/>
      <c r="D133" s="20"/>
      <c r="F133" s="296"/>
      <c r="G133" s="296"/>
    </row>
    <row r="134" spans="1:7" ht="17.25" hidden="1" thickBot="1" thickTop="1">
      <c r="A134" s="44"/>
      <c r="B134" s="44"/>
      <c r="C134" s="55"/>
      <c r="D134" s="20"/>
      <c r="F134" s="296"/>
      <c r="G134" s="296"/>
    </row>
    <row r="135" spans="1:8" ht="17.25" hidden="1" thickBot="1" thickTop="1">
      <c r="A135" s="31"/>
      <c r="B135" s="31"/>
      <c r="C135" s="28"/>
      <c r="D135" s="139"/>
      <c r="F135" s="131"/>
      <c r="G135" s="296"/>
      <c r="H135" s="130"/>
    </row>
    <row r="136" spans="2:7" ht="17.25" customHeight="1" hidden="1" thickBot="1" thickTop="1">
      <c r="B136" s="731"/>
      <c r="C136" s="732"/>
      <c r="D136" s="732"/>
      <c r="F136" s="296"/>
      <c r="G136" s="296"/>
    </row>
    <row r="137" spans="1:7" ht="17.25" hidden="1" thickBot="1" thickTop="1">
      <c r="A137" s="21"/>
      <c r="B137" s="21"/>
      <c r="C137" s="34"/>
      <c r="D137" s="288"/>
      <c r="F137" s="296"/>
      <c r="G137" s="296"/>
    </row>
    <row r="138" spans="1:7" ht="17.25" hidden="1" thickBot="1" thickTop="1">
      <c r="A138" s="53"/>
      <c r="B138" s="53"/>
      <c r="C138" s="37"/>
      <c r="D138" s="13"/>
      <c r="F138" s="296"/>
      <c r="G138" s="296"/>
    </row>
    <row r="139" spans="1:7" ht="17.25" hidden="1" thickBot="1" thickTop="1">
      <c r="A139" s="53"/>
      <c r="B139" s="53"/>
      <c r="C139" s="37"/>
      <c r="D139" s="286"/>
      <c r="F139" s="66"/>
      <c r="G139" s="138"/>
    </row>
    <row r="140" spans="1:7" ht="17.25" hidden="1" thickBot="1" thickTop="1">
      <c r="A140" s="36"/>
      <c r="B140" s="36"/>
      <c r="C140" s="37"/>
      <c r="D140" s="286"/>
      <c r="F140" s="66"/>
      <c r="G140" s="138"/>
    </row>
    <row r="141" spans="1:7" ht="17.25" hidden="1" thickBot="1" thickTop="1">
      <c r="A141" s="36"/>
      <c r="B141" s="36"/>
      <c r="C141" s="49"/>
      <c r="D141" s="286"/>
      <c r="F141" s="296"/>
      <c r="G141" s="296"/>
    </row>
    <row r="142" spans="1:7" ht="17.25" hidden="1" thickBot="1" thickTop="1">
      <c r="A142" s="36"/>
      <c r="B142" s="36"/>
      <c r="C142" s="37"/>
      <c r="D142" s="13"/>
      <c r="F142" s="296"/>
      <c r="G142" s="296"/>
    </row>
    <row r="143" spans="1:7" ht="17.25" hidden="1" thickBot="1" thickTop="1">
      <c r="A143" s="36"/>
      <c r="B143" s="36"/>
      <c r="C143" s="37"/>
      <c r="D143" s="13"/>
      <c r="F143" s="296"/>
      <c r="G143" s="296"/>
    </row>
    <row r="144" spans="1:7" ht="17.25" hidden="1" thickBot="1" thickTop="1">
      <c r="A144" s="54"/>
      <c r="B144" s="54"/>
      <c r="C144" s="46"/>
      <c r="D144" s="20"/>
      <c r="F144" s="296"/>
      <c r="G144" s="296"/>
    </row>
    <row r="145" spans="1:12" ht="17.25" hidden="1" thickBot="1" thickTop="1">
      <c r="A145" s="31"/>
      <c r="B145" s="31"/>
      <c r="C145" s="32"/>
      <c r="D145" s="139"/>
      <c r="F145" s="131"/>
      <c r="G145" s="296"/>
      <c r="H145" s="130"/>
      <c r="K145" s="130"/>
      <c r="L145" s="130"/>
    </row>
    <row r="146" spans="2:7" ht="17.25" hidden="1" thickBot="1" thickTop="1">
      <c r="B146" s="731"/>
      <c r="C146" s="732"/>
      <c r="D146" s="732"/>
      <c r="F146" s="296"/>
      <c r="G146" s="296"/>
    </row>
    <row r="147" spans="1:11" ht="17.25" hidden="1" thickBot="1" thickTop="1">
      <c r="A147" s="36"/>
      <c r="B147" s="36"/>
      <c r="C147" s="49"/>
      <c r="D147" s="13"/>
      <c r="F147" s="131"/>
      <c r="G147" s="131"/>
      <c r="H147" s="130"/>
      <c r="I147" s="130"/>
      <c r="J147" s="130"/>
      <c r="K147" s="130"/>
    </row>
    <row r="148" spans="1:7" ht="17.25" hidden="1" thickBot="1" thickTop="1">
      <c r="A148" s="36"/>
      <c r="B148" s="36"/>
      <c r="C148" s="49"/>
      <c r="D148" s="13"/>
      <c r="F148" s="296"/>
      <c r="G148" s="296"/>
    </row>
    <row r="149" spans="1:7" ht="17.25" hidden="1" thickBot="1" thickTop="1">
      <c r="A149" s="36"/>
      <c r="B149" s="36"/>
      <c r="C149" s="49"/>
      <c r="D149" s="286"/>
      <c r="F149" s="296"/>
      <c r="G149" s="296"/>
    </row>
    <row r="150" spans="1:10" ht="17.25" hidden="1" thickBot="1" thickTop="1">
      <c r="A150" s="36"/>
      <c r="B150" s="36"/>
      <c r="C150" s="49"/>
      <c r="D150" s="13"/>
      <c r="F150" s="296"/>
      <c r="G150" s="296"/>
      <c r="I150" s="130"/>
      <c r="J150" s="130"/>
    </row>
    <row r="151" spans="1:10" ht="17.25" hidden="1" thickBot="1" thickTop="1">
      <c r="A151" s="36"/>
      <c r="B151" s="36"/>
      <c r="C151" s="49"/>
      <c r="D151" s="13"/>
      <c r="F151" s="296"/>
      <c r="G151" s="296"/>
      <c r="I151" s="130"/>
      <c r="J151" s="130"/>
    </row>
    <row r="152" spans="1:7" ht="17.25" hidden="1" thickBot="1" thickTop="1">
      <c r="A152" s="36"/>
      <c r="B152" s="36"/>
      <c r="C152" s="49"/>
      <c r="D152" s="13"/>
      <c r="F152" s="296"/>
      <c r="G152" s="296"/>
    </row>
    <row r="153" spans="1:7" ht="17.25" hidden="1" thickBot="1" thickTop="1">
      <c r="A153" s="29"/>
      <c r="B153" s="29"/>
      <c r="C153" s="56"/>
      <c r="D153" s="15"/>
      <c r="F153" s="296"/>
      <c r="G153" s="296"/>
    </row>
    <row r="154" spans="1:7" ht="17.25" hidden="1" thickBot="1" thickTop="1">
      <c r="A154" s="36"/>
      <c r="B154" s="36"/>
      <c r="C154" s="49"/>
      <c r="D154" s="13"/>
      <c r="F154" s="296"/>
      <c r="G154" s="296"/>
    </row>
    <row r="155" spans="1:10" ht="17.25" hidden="1" thickBot="1" thickTop="1">
      <c r="A155" s="38"/>
      <c r="B155" s="38"/>
      <c r="C155" s="51"/>
      <c r="D155" s="59"/>
      <c r="F155" s="131"/>
      <c r="G155" s="296"/>
      <c r="J155" s="130"/>
    </row>
    <row r="156" spans="1:10" ht="17.25" hidden="1" thickBot="1" thickTop="1">
      <c r="A156" s="39"/>
      <c r="B156" s="39"/>
      <c r="C156" s="52"/>
      <c r="D156" s="144"/>
      <c r="F156" s="131"/>
      <c r="G156" s="131"/>
      <c r="H156" s="130"/>
      <c r="I156" s="130"/>
      <c r="J156" s="130"/>
    </row>
    <row r="157" spans="2:7" ht="17.25" hidden="1" thickBot="1" thickTop="1">
      <c r="B157" s="731"/>
      <c r="C157" s="732"/>
      <c r="D157" s="732"/>
      <c r="F157" s="296"/>
      <c r="G157" s="296"/>
    </row>
    <row r="158" spans="1:7" ht="17.25" hidden="1" thickBot="1" thickTop="1">
      <c r="A158" s="33"/>
      <c r="B158" s="33"/>
      <c r="C158" s="34"/>
      <c r="D158" s="337"/>
      <c r="F158" s="296"/>
      <c r="G158" s="296"/>
    </row>
    <row r="159" spans="1:7" ht="17.25" hidden="1" thickBot="1" thickTop="1">
      <c r="A159" s="29"/>
      <c r="B159" s="29"/>
      <c r="C159" s="30"/>
      <c r="D159" s="338"/>
      <c r="F159" s="296"/>
      <c r="G159" s="296"/>
    </row>
    <row r="160" spans="1:7" ht="17.25" hidden="1" thickBot="1" thickTop="1">
      <c r="A160" s="36"/>
      <c r="B160" s="36"/>
      <c r="C160" s="37"/>
      <c r="D160" s="336"/>
      <c r="F160" s="296"/>
      <c r="G160" s="296"/>
    </row>
    <row r="161" spans="1:7" ht="17.25" hidden="1" thickBot="1" thickTop="1">
      <c r="A161" s="36"/>
      <c r="B161" s="36"/>
      <c r="C161" s="30"/>
      <c r="D161" s="336"/>
      <c r="F161" s="296"/>
      <c r="G161" s="296"/>
    </row>
    <row r="162" spans="1:7" ht="17.25" hidden="1" thickBot="1" thickTop="1">
      <c r="A162" s="36"/>
      <c r="B162" s="36"/>
      <c r="C162" s="37"/>
      <c r="D162" s="336"/>
      <c r="F162" s="296"/>
      <c r="G162" s="296"/>
    </row>
    <row r="163" spans="1:7" ht="17.25" hidden="1" thickBot="1" thickTop="1">
      <c r="A163" s="36"/>
      <c r="B163" s="36"/>
      <c r="C163" s="37"/>
      <c r="D163" s="336"/>
      <c r="F163" s="296"/>
      <c r="G163" s="296"/>
    </row>
    <row r="164" spans="1:7" ht="17.25" hidden="1" thickBot="1" thickTop="1">
      <c r="A164" s="36"/>
      <c r="B164" s="36"/>
      <c r="C164" s="37"/>
      <c r="D164" s="147"/>
      <c r="F164" s="296"/>
      <c r="G164" s="296"/>
    </row>
    <row r="165" spans="1:7" ht="17.25" hidden="1" thickBot="1" thickTop="1">
      <c r="A165" s="36"/>
      <c r="B165" s="36"/>
      <c r="C165" s="37"/>
      <c r="D165" s="126"/>
      <c r="F165" s="296"/>
      <c r="G165" s="296"/>
    </row>
    <row r="166" spans="1:7" ht="17.25" hidden="1" thickBot="1" thickTop="1">
      <c r="A166" s="50"/>
      <c r="B166" s="50"/>
      <c r="C166" s="49"/>
      <c r="D166" s="336"/>
      <c r="F166" s="296"/>
      <c r="G166" s="296"/>
    </row>
    <row r="167" spans="1:7" ht="17.25" hidden="1" thickBot="1" thickTop="1">
      <c r="A167" s="36"/>
      <c r="B167" s="36"/>
      <c r="C167" s="37"/>
      <c r="D167" s="126"/>
      <c r="F167" s="296"/>
      <c r="G167" s="296"/>
    </row>
    <row r="168" spans="1:7" ht="17.25" hidden="1" thickBot="1" thickTop="1">
      <c r="A168" s="36"/>
      <c r="B168" s="36"/>
      <c r="C168" s="37"/>
      <c r="D168" s="126"/>
      <c r="F168" s="296"/>
      <c r="G168" s="296"/>
    </row>
    <row r="169" spans="1:7" ht="17.25" hidden="1" thickBot="1" thickTop="1">
      <c r="A169" s="44"/>
      <c r="B169" s="44"/>
      <c r="C169" s="46"/>
      <c r="D169" s="147"/>
      <c r="F169" s="296"/>
      <c r="G169" s="296"/>
    </row>
    <row r="170" spans="1:12" ht="17.25" hidden="1" thickBot="1" thickTop="1">
      <c r="A170" s="31"/>
      <c r="B170" s="31"/>
      <c r="C170" s="32"/>
      <c r="D170" s="148"/>
      <c r="F170" s="131"/>
      <c r="G170" s="131"/>
      <c r="H170" s="130"/>
      <c r="K170" s="130"/>
      <c r="L170" s="130"/>
    </row>
    <row r="171" spans="2:7" ht="17.25" hidden="1" thickBot="1" thickTop="1">
      <c r="B171" s="731"/>
      <c r="C171" s="732"/>
      <c r="D171" s="732"/>
      <c r="F171" s="296"/>
      <c r="G171" s="296"/>
    </row>
    <row r="172" spans="1:7" ht="17.25" hidden="1" thickBot="1" thickTop="1">
      <c r="A172" s="36"/>
      <c r="B172" s="36"/>
      <c r="C172" s="49"/>
      <c r="D172" s="13"/>
      <c r="F172" s="296"/>
      <c r="G172" s="296"/>
    </row>
    <row r="173" spans="1:7" ht="17.25" hidden="1" thickBot="1" thickTop="1">
      <c r="A173" s="36"/>
      <c r="B173" s="36"/>
      <c r="C173" s="49"/>
      <c r="D173" s="286"/>
      <c r="F173" s="296"/>
      <c r="G173" s="296"/>
    </row>
    <row r="174" spans="1:7" ht="17.25" hidden="1" thickBot="1" thickTop="1">
      <c r="A174" s="36"/>
      <c r="B174" s="36"/>
      <c r="C174" s="49"/>
      <c r="D174" s="286"/>
      <c r="F174" s="296"/>
      <c r="G174" s="296"/>
    </row>
    <row r="175" spans="1:7" ht="17.25" hidden="1" thickBot="1" thickTop="1">
      <c r="A175" s="36"/>
      <c r="B175" s="36"/>
      <c r="C175" s="49"/>
      <c r="D175" s="286"/>
      <c r="F175" s="296"/>
      <c r="G175" s="296"/>
    </row>
    <row r="176" spans="1:7" ht="17.25" hidden="1" thickBot="1" thickTop="1">
      <c r="A176" s="36"/>
      <c r="B176" s="36"/>
      <c r="C176" s="49"/>
      <c r="D176" s="286"/>
      <c r="F176" s="296"/>
      <c r="G176" s="296"/>
    </row>
    <row r="177" spans="1:4" ht="17.25" hidden="1" thickBot="1" thickTop="1">
      <c r="A177" s="29"/>
      <c r="B177" s="29"/>
      <c r="C177" s="56"/>
      <c r="D177" s="15"/>
    </row>
    <row r="178" spans="1:4" ht="17.25" hidden="1" thickBot="1" thickTop="1">
      <c r="A178" s="44"/>
      <c r="B178" s="44"/>
      <c r="C178" s="49"/>
      <c r="D178" s="20"/>
    </row>
    <row r="179" spans="1:4" ht="17.25" hidden="1" thickBot="1" thickTop="1">
      <c r="A179" s="36"/>
      <c r="B179" s="36"/>
      <c r="C179" s="49"/>
      <c r="D179" s="13"/>
    </row>
    <row r="180" spans="1:4" ht="17.25" hidden="1" thickBot="1" thickTop="1">
      <c r="A180" s="59"/>
      <c r="B180" s="59"/>
      <c r="C180" s="60"/>
      <c r="D180" s="59"/>
    </row>
    <row r="181" spans="1:12" ht="17.25" hidden="1" thickBot="1" thickTop="1">
      <c r="A181" s="31"/>
      <c r="B181" s="31"/>
      <c r="C181" s="28"/>
      <c r="D181" s="139"/>
      <c r="F181" s="130"/>
      <c r="G181" s="130"/>
      <c r="H181" s="130"/>
      <c r="K181" s="130"/>
      <c r="L181" s="130"/>
    </row>
    <row r="182" spans="2:12" ht="17.25" hidden="1" thickBot="1" thickTop="1">
      <c r="B182" s="731"/>
      <c r="C182" s="732"/>
      <c r="D182" s="732"/>
      <c r="F182" s="130"/>
      <c r="G182" s="130"/>
      <c r="H182" s="130"/>
      <c r="K182" s="130"/>
      <c r="L182" s="130"/>
    </row>
    <row r="183" spans="1:12" ht="17.25" hidden="1" thickBot="1" thickTop="1">
      <c r="A183" s="36"/>
      <c r="B183" s="36"/>
      <c r="C183" s="49"/>
      <c r="D183" s="286"/>
      <c r="F183" s="130"/>
      <c r="G183" s="130"/>
      <c r="H183" s="130"/>
      <c r="K183" s="130"/>
      <c r="L183" s="130"/>
    </row>
    <row r="184" spans="1:12" ht="17.25" hidden="1" thickBot="1" thickTop="1">
      <c r="A184" s="36"/>
      <c r="B184" s="36"/>
      <c r="C184" s="49"/>
      <c r="D184" s="13"/>
      <c r="F184" s="130"/>
      <c r="G184" s="130"/>
      <c r="H184" s="130"/>
      <c r="K184" s="130"/>
      <c r="L184" s="130"/>
    </row>
    <row r="185" spans="1:12" ht="17.25" hidden="1" thickBot="1" thickTop="1">
      <c r="A185" s="29"/>
      <c r="B185" s="29"/>
      <c r="C185" s="56"/>
      <c r="D185" s="15"/>
      <c r="F185" s="130"/>
      <c r="G185" s="130"/>
      <c r="H185" s="130"/>
      <c r="K185" s="130"/>
      <c r="L185" s="130"/>
    </row>
    <row r="186" spans="1:12" ht="17.25" hidden="1" thickBot="1" thickTop="1">
      <c r="A186" s="36"/>
      <c r="B186" s="36"/>
      <c r="C186" s="49"/>
      <c r="D186" s="13"/>
      <c r="F186" s="130"/>
      <c r="G186" s="130"/>
      <c r="H186" s="130"/>
      <c r="K186" s="130"/>
      <c r="L186" s="130"/>
    </row>
    <row r="187" spans="1:12" ht="17.25" hidden="1" thickBot="1" thickTop="1">
      <c r="A187" s="38"/>
      <c r="B187" s="38"/>
      <c r="C187" s="51"/>
      <c r="D187" s="59"/>
      <c r="F187" s="130"/>
      <c r="G187" s="130"/>
      <c r="H187" s="130"/>
      <c r="K187" s="130"/>
      <c r="L187" s="130"/>
    </row>
    <row r="188" spans="1:12" ht="17.25" hidden="1" thickBot="1" thickTop="1">
      <c r="A188" s="39"/>
      <c r="B188" s="39"/>
      <c r="C188" s="52"/>
      <c r="D188" s="144"/>
      <c r="E188" s="285"/>
      <c r="F188" s="130"/>
      <c r="G188" s="130"/>
      <c r="H188" s="130"/>
      <c r="K188" s="130"/>
      <c r="L188" s="130"/>
    </row>
    <row r="189" spans="1:12" ht="17.25" customHeight="1" thickBot="1" thickTop="1">
      <c r="A189" s="732" t="s">
        <v>242</v>
      </c>
      <c r="B189" s="732"/>
      <c r="C189" s="732"/>
      <c r="D189" s="732"/>
      <c r="F189" s="130"/>
      <c r="G189" s="130"/>
      <c r="H189" s="130"/>
      <c r="K189" s="130"/>
      <c r="L189" s="130"/>
    </row>
    <row r="190" spans="1:12" ht="16.5" thickTop="1">
      <c r="A190" s="36">
        <v>52</v>
      </c>
      <c r="B190" s="36"/>
      <c r="C190" s="49" t="s">
        <v>2</v>
      </c>
      <c r="D190" s="286">
        <f>5+7</f>
        <v>12</v>
      </c>
      <c r="F190" s="130"/>
      <c r="G190" s="130"/>
      <c r="H190" s="130"/>
      <c r="K190" s="130"/>
      <c r="L190" s="130"/>
    </row>
    <row r="191" spans="1:12" ht="16.5" thickBot="1">
      <c r="A191" s="39"/>
      <c r="B191" s="39"/>
      <c r="C191" s="52" t="s">
        <v>7</v>
      </c>
      <c r="D191" s="144">
        <f>SUM(D190:D190)</f>
        <v>12</v>
      </c>
      <c r="F191" s="130"/>
      <c r="G191" s="130"/>
      <c r="H191" s="130"/>
      <c r="K191" s="130"/>
      <c r="L191" s="130"/>
    </row>
    <row r="192" spans="1:12" ht="17.25" customHeight="1" hidden="1" thickBot="1" thickTop="1">
      <c r="A192" s="732" t="s">
        <v>286</v>
      </c>
      <c r="B192" s="732"/>
      <c r="C192" s="732"/>
      <c r="D192" s="732"/>
      <c r="F192" s="130"/>
      <c r="G192" s="130"/>
      <c r="H192" s="130"/>
      <c r="K192" s="130"/>
      <c r="L192" s="130"/>
    </row>
    <row r="193" spans="1:12" ht="17.25" hidden="1" thickBot="1" thickTop="1">
      <c r="A193" s="36">
        <v>30</v>
      </c>
      <c r="B193" s="36"/>
      <c r="C193" s="387" t="s">
        <v>70</v>
      </c>
      <c r="D193" s="13"/>
      <c r="F193" s="130"/>
      <c r="G193" s="130"/>
      <c r="H193" s="130"/>
      <c r="K193" s="130"/>
      <c r="L193" s="130"/>
    </row>
    <row r="194" spans="1:12" ht="17.25" hidden="1" thickBot="1" thickTop="1">
      <c r="A194" s="39"/>
      <c r="B194" s="39"/>
      <c r="C194" s="52" t="s">
        <v>7</v>
      </c>
      <c r="D194" s="144">
        <f>D193</f>
        <v>0</v>
      </c>
      <c r="F194" s="130"/>
      <c r="G194" s="130"/>
      <c r="H194" s="130"/>
      <c r="K194" s="130"/>
      <c r="L194" s="130"/>
    </row>
    <row r="195" spans="1:12" ht="32.25" customHeight="1" thickBot="1" thickTop="1">
      <c r="A195" s="732" t="s">
        <v>362</v>
      </c>
      <c r="B195" s="732"/>
      <c r="C195" s="732"/>
      <c r="D195" s="732"/>
      <c r="F195" s="130"/>
      <c r="G195" s="130"/>
      <c r="H195" s="130"/>
      <c r="K195" s="130"/>
      <c r="L195" s="130"/>
    </row>
    <row r="196" spans="1:12" ht="32.25" thickTop="1">
      <c r="A196" s="21"/>
      <c r="B196" s="21"/>
      <c r="C196" s="22" t="s">
        <v>174</v>
      </c>
      <c r="D196" s="454">
        <f>1780-200</f>
        <v>1580</v>
      </c>
      <c r="F196" s="130"/>
      <c r="G196" s="130"/>
      <c r="H196" s="130"/>
      <c r="K196" s="130"/>
      <c r="L196" s="130"/>
    </row>
    <row r="197" spans="1:12" ht="15.75">
      <c r="A197" s="162"/>
      <c r="B197" s="162"/>
      <c r="C197" s="157" t="s">
        <v>168</v>
      </c>
      <c r="D197" s="455">
        <v>53</v>
      </c>
      <c r="F197" s="130"/>
      <c r="G197" s="130"/>
      <c r="H197" s="130"/>
      <c r="K197" s="130"/>
      <c r="L197" s="130"/>
    </row>
    <row r="198" spans="1:12" ht="16.5" thickBot="1">
      <c r="A198" s="39"/>
      <c r="B198" s="39"/>
      <c r="C198" s="120" t="s">
        <v>173</v>
      </c>
      <c r="D198" s="456">
        <v>130</v>
      </c>
      <c r="F198" s="130"/>
      <c r="G198" s="130"/>
      <c r="H198" s="130"/>
      <c r="K198" s="130"/>
      <c r="L198" s="130"/>
    </row>
    <row r="199" spans="1:8" ht="16.5" thickTop="1">
      <c r="A199" s="33"/>
      <c r="B199" s="33"/>
      <c r="C199" s="22" t="s">
        <v>172</v>
      </c>
      <c r="D199" s="129">
        <f>D181+D170+D156+D145+D135+D125+D114+D105+D102+D83+D67+D59+D188+D196+D191+D194</f>
        <v>22867</v>
      </c>
      <c r="E199" s="282">
        <f>22137+730</f>
        <v>22867</v>
      </c>
      <c r="F199" s="130">
        <f>E199-D199</f>
        <v>0</v>
      </c>
      <c r="G199" s="130"/>
      <c r="H199" s="130"/>
    </row>
    <row r="200" spans="1:8" ht="15.75">
      <c r="A200" s="62"/>
      <c r="B200" s="62"/>
      <c r="C200" s="157" t="s">
        <v>168</v>
      </c>
      <c r="D200" s="149">
        <f>D68+D60+D197</f>
        <v>1157</v>
      </c>
      <c r="E200" s="130">
        <v>1157</v>
      </c>
      <c r="F200" s="130">
        <f>E200-D200</f>
        <v>0</v>
      </c>
      <c r="G200" s="130"/>
      <c r="H200" s="130"/>
    </row>
    <row r="201" spans="1:8" ht="15.75">
      <c r="A201" s="62"/>
      <c r="B201" s="62"/>
      <c r="C201" s="63" t="s">
        <v>173</v>
      </c>
      <c r="D201" s="150">
        <f>D165+D166+D123+D75+D31+D198+D193+D32+D33+D95</f>
        <v>730</v>
      </c>
      <c r="E201" s="130">
        <v>730</v>
      </c>
      <c r="F201" s="130">
        <f>E201-D201</f>
        <v>0</v>
      </c>
      <c r="G201" s="130"/>
      <c r="H201" s="130"/>
    </row>
    <row r="202" spans="1:10" ht="16.5" thickBot="1">
      <c r="A202" s="23"/>
      <c r="B202" s="23"/>
      <c r="C202" s="120" t="s">
        <v>167</v>
      </c>
      <c r="D202" s="151">
        <f>D61</f>
        <v>460</v>
      </c>
      <c r="E202" s="130"/>
      <c r="F202" s="130"/>
      <c r="G202" s="130"/>
      <c r="H202" s="130"/>
      <c r="I202" s="130"/>
      <c r="J202" s="130"/>
    </row>
    <row r="203" spans="1:6" s="153" customFormat="1" ht="16.5" thickTop="1">
      <c r="A203" s="64"/>
      <c r="B203" s="64"/>
      <c r="C203" s="65"/>
      <c r="D203" s="64"/>
      <c r="E203" s="64"/>
      <c r="F203" s="152"/>
    </row>
    <row r="204" spans="1:6" s="153" customFormat="1" ht="15.75">
      <c r="A204" s="64"/>
      <c r="B204" s="64"/>
      <c r="C204" s="9" t="s">
        <v>61</v>
      </c>
      <c r="D204" s="167">
        <f>D85</f>
        <v>104</v>
      </c>
      <c r="E204" s="64"/>
      <c r="F204" s="152"/>
    </row>
    <row r="205" spans="1:5" ht="15.75">
      <c r="A205" s="66"/>
      <c r="B205" s="66"/>
      <c r="C205" s="9" t="s">
        <v>228</v>
      </c>
      <c r="D205" s="167">
        <f>D8+D9+D10+D86+D87+D88</f>
        <v>3930</v>
      </c>
      <c r="E205" s="64"/>
    </row>
    <row r="206" spans="1:5" ht="15.75">
      <c r="A206" s="66"/>
      <c r="B206" s="66"/>
      <c r="C206" s="9" t="s">
        <v>15</v>
      </c>
      <c r="D206" s="167">
        <f>D11</f>
        <v>389</v>
      </c>
      <c r="E206" s="64"/>
    </row>
    <row r="207" spans="1:5" ht="15.75">
      <c r="A207" s="66"/>
      <c r="B207" s="66"/>
      <c r="C207" s="9" t="s">
        <v>16</v>
      </c>
      <c r="D207" s="167">
        <f>D12</f>
        <v>186</v>
      </c>
      <c r="E207" s="64"/>
    </row>
    <row r="208" spans="1:4" ht="15.75">
      <c r="A208" s="67"/>
      <c r="B208" s="67"/>
      <c r="C208" s="9" t="s">
        <v>83</v>
      </c>
      <c r="D208" s="167">
        <f>D13</f>
        <v>39</v>
      </c>
    </row>
    <row r="209" spans="1:4" ht="15.75">
      <c r="A209" s="66"/>
      <c r="B209" s="66"/>
      <c r="C209" s="9" t="s">
        <v>49</v>
      </c>
      <c r="D209" s="167">
        <f>D14+D15</f>
        <v>306</v>
      </c>
    </row>
    <row r="210" spans="1:4" ht="15.75">
      <c r="A210" s="154"/>
      <c r="B210" s="154"/>
      <c r="C210" s="9" t="s">
        <v>28</v>
      </c>
      <c r="D210" s="167">
        <f>D16+D17+D74+D94</f>
        <v>2327</v>
      </c>
    </row>
    <row r="211" spans="1:4" ht="15.75">
      <c r="A211" s="154"/>
      <c r="B211" s="154"/>
      <c r="C211" s="9" t="s">
        <v>17</v>
      </c>
      <c r="D211" s="167">
        <f>D18+D71+D91</f>
        <v>962</v>
      </c>
    </row>
    <row r="212" spans="1:4" ht="15.75">
      <c r="A212" s="155"/>
      <c r="B212" s="155"/>
      <c r="C212" s="9" t="s">
        <v>70</v>
      </c>
      <c r="D212" s="167">
        <f>D193+D31+D75+D32+D33+D95</f>
        <v>600</v>
      </c>
    </row>
    <row r="213" spans="1:4" ht="15.75">
      <c r="A213" s="155"/>
      <c r="B213" s="155"/>
      <c r="C213" s="9" t="s">
        <v>26</v>
      </c>
      <c r="D213" s="167">
        <f>D34+D76+D96</f>
        <v>952</v>
      </c>
    </row>
    <row r="214" spans="1:4" ht="15.75">
      <c r="A214" s="155"/>
      <c r="B214" s="155"/>
      <c r="C214" s="9" t="s">
        <v>37</v>
      </c>
      <c r="D214" s="167">
        <f>D35+D77+D97</f>
        <v>410</v>
      </c>
    </row>
    <row r="215" spans="1:4" ht="15.75">
      <c r="A215" s="155"/>
      <c r="B215" s="155"/>
      <c r="C215" s="9" t="s">
        <v>18</v>
      </c>
      <c r="D215" s="167">
        <f>D36</f>
        <v>394</v>
      </c>
    </row>
    <row r="216" spans="1:4" ht="15.75">
      <c r="A216" s="155"/>
      <c r="B216" s="155"/>
      <c r="C216" s="9" t="s">
        <v>65</v>
      </c>
      <c r="D216" s="167">
        <f>D79+D89</f>
        <v>425</v>
      </c>
    </row>
    <row r="217" spans="1:4" ht="15.75">
      <c r="A217" s="155"/>
      <c r="B217" s="155"/>
      <c r="C217" s="9" t="s">
        <v>229</v>
      </c>
      <c r="D217" s="167">
        <f>D37+D38+D39</f>
        <v>1104</v>
      </c>
    </row>
    <row r="218" spans="1:4" ht="15.75">
      <c r="A218" s="155"/>
      <c r="B218" s="155"/>
      <c r="C218" s="9" t="s">
        <v>347</v>
      </c>
      <c r="D218" s="167">
        <f>D40</f>
        <v>426</v>
      </c>
    </row>
    <row r="219" spans="1:4" ht="15.75">
      <c r="A219" s="155"/>
      <c r="B219" s="155"/>
      <c r="C219" s="9" t="s">
        <v>19</v>
      </c>
      <c r="D219" s="167">
        <f>D41+D190</f>
        <v>457</v>
      </c>
    </row>
    <row r="220" spans="1:4" ht="15.75">
      <c r="A220" s="155"/>
      <c r="B220" s="155"/>
      <c r="C220" s="9" t="s">
        <v>24</v>
      </c>
      <c r="D220" s="167">
        <f>D42+D80+D99</f>
        <v>1128</v>
      </c>
    </row>
    <row r="221" spans="1:4" ht="15.75">
      <c r="A221" s="155"/>
      <c r="B221" s="155"/>
      <c r="C221" s="9" t="s">
        <v>20</v>
      </c>
      <c r="D221" s="167">
        <f>D43+D78+D98</f>
        <v>566</v>
      </c>
    </row>
    <row r="222" spans="1:4" ht="15.75">
      <c r="A222" s="155"/>
      <c r="B222" s="155"/>
      <c r="C222" s="9" t="s">
        <v>51</v>
      </c>
      <c r="D222" s="167">
        <f>D44</f>
        <v>15</v>
      </c>
    </row>
    <row r="223" spans="1:4" ht="15.75">
      <c r="A223" s="155"/>
      <c r="B223" s="155"/>
      <c r="C223" s="9" t="s">
        <v>27</v>
      </c>
      <c r="D223" s="167">
        <f>D45</f>
        <v>266</v>
      </c>
    </row>
    <row r="224" spans="1:4" ht="15.75">
      <c r="A224" s="155"/>
      <c r="B224" s="155"/>
      <c r="C224" s="9" t="s">
        <v>21</v>
      </c>
      <c r="D224" s="167">
        <f>D46</f>
        <v>1536</v>
      </c>
    </row>
    <row r="225" spans="1:4" ht="15.75">
      <c r="A225" s="155"/>
      <c r="B225" s="155"/>
      <c r="C225" s="9" t="s">
        <v>66</v>
      </c>
      <c r="D225" s="167">
        <f>D47+D53+D81+D100</f>
        <v>1232</v>
      </c>
    </row>
    <row r="226" spans="1:4" ht="15.75">
      <c r="A226" s="155"/>
      <c r="B226" s="155"/>
      <c r="C226" s="9" t="s">
        <v>48</v>
      </c>
      <c r="D226" s="167">
        <f>D54+D72+D92</f>
        <v>696</v>
      </c>
    </row>
    <row r="227" spans="1:4" ht="15.75">
      <c r="A227" s="155"/>
      <c r="B227" s="155"/>
      <c r="C227" s="9" t="s">
        <v>29</v>
      </c>
      <c r="D227" s="167">
        <f>D55+D70+D90</f>
        <v>2404</v>
      </c>
    </row>
    <row r="228" spans="1:4" ht="15.75">
      <c r="A228" s="155"/>
      <c r="B228" s="155"/>
      <c r="C228" s="9" t="s">
        <v>67</v>
      </c>
      <c r="D228" s="167">
        <f>D82+D56+D101</f>
        <v>60</v>
      </c>
    </row>
    <row r="229" spans="1:4" ht="15.75">
      <c r="A229" s="155"/>
      <c r="B229" s="155"/>
      <c r="C229" s="9" t="s">
        <v>39</v>
      </c>
      <c r="D229" s="167">
        <f>D57</f>
        <v>100</v>
      </c>
    </row>
    <row r="230" spans="1:4" ht="15.75">
      <c r="A230" s="155"/>
      <c r="B230" s="155"/>
      <c r="C230" s="9" t="s">
        <v>22</v>
      </c>
      <c r="D230" s="167">
        <f>D58+D73+D93</f>
        <v>273</v>
      </c>
    </row>
    <row r="231" spans="1:6" ht="15.75">
      <c r="A231" s="155"/>
      <c r="B231" s="155"/>
      <c r="C231" s="111" t="s">
        <v>230</v>
      </c>
      <c r="D231" s="201">
        <f>SUM(D204:D230)</f>
        <v>21287</v>
      </c>
      <c r="E231" s="282">
        <f>D199-D196</f>
        <v>21287</v>
      </c>
      <c r="F231" s="282">
        <f>E231-D231</f>
        <v>0</v>
      </c>
    </row>
    <row r="232" spans="1:4" ht="15">
      <c r="A232" s="155"/>
      <c r="B232" s="155"/>
      <c r="C232" s="155"/>
      <c r="D232" s="155"/>
    </row>
    <row r="233" spans="1:4" ht="15">
      <c r="A233" s="155"/>
      <c r="B233" s="155"/>
      <c r="C233" s="155"/>
      <c r="D233" s="155"/>
    </row>
    <row r="234" spans="1:4" ht="15">
      <c r="A234" s="155"/>
      <c r="B234" s="155"/>
      <c r="C234" s="155"/>
      <c r="D234" s="155"/>
    </row>
    <row r="235" spans="1:4" ht="15">
      <c r="A235" s="155"/>
      <c r="B235" s="155"/>
      <c r="C235" s="155"/>
      <c r="D235" s="155"/>
    </row>
    <row r="236" spans="1:4" ht="15">
      <c r="A236" s="155"/>
      <c r="B236" s="155"/>
      <c r="C236" s="155"/>
      <c r="D236" s="155"/>
    </row>
    <row r="237" spans="1:4" ht="15">
      <c r="A237" s="155"/>
      <c r="B237" s="155"/>
      <c r="C237" s="155"/>
      <c r="D237" s="155"/>
    </row>
    <row r="238" spans="1:4" ht="15">
      <c r="A238" s="155"/>
      <c r="B238" s="155"/>
      <c r="C238" s="155"/>
      <c r="D238" s="155"/>
    </row>
    <row r="239" spans="1:4" ht="15">
      <c r="A239" s="155"/>
      <c r="B239" s="155"/>
      <c r="C239" s="155"/>
      <c r="D239" s="155"/>
    </row>
    <row r="240" spans="1:4" ht="15">
      <c r="A240" s="155"/>
      <c r="B240" s="155"/>
      <c r="C240" s="155"/>
      <c r="D240" s="155"/>
    </row>
    <row r="241" spans="1:4" ht="15">
      <c r="A241" s="155"/>
      <c r="B241" s="155"/>
      <c r="C241" s="155"/>
      <c r="D241" s="155"/>
    </row>
    <row r="242" spans="1:4" ht="15">
      <c r="A242" s="155"/>
      <c r="B242" s="155"/>
      <c r="C242" s="155"/>
      <c r="D242" s="155"/>
    </row>
    <row r="243" spans="1:4" ht="15">
      <c r="A243" s="155"/>
      <c r="B243" s="155"/>
      <c r="C243" s="155"/>
      <c r="D243" s="155"/>
    </row>
    <row r="244" spans="1:4" ht="15">
      <c r="A244" s="155"/>
      <c r="B244" s="155"/>
      <c r="C244" s="155"/>
      <c r="D244" s="155"/>
    </row>
    <row r="245" spans="1:4" ht="15">
      <c r="A245" s="155"/>
      <c r="B245" s="155"/>
      <c r="C245" s="155"/>
      <c r="D245" s="155"/>
    </row>
    <row r="246" spans="1:4" ht="15">
      <c r="A246" s="155"/>
      <c r="B246" s="155"/>
      <c r="C246" s="155"/>
      <c r="D246" s="155"/>
    </row>
    <row r="247" spans="1:4" ht="15">
      <c r="A247" s="155"/>
      <c r="B247" s="155"/>
      <c r="C247" s="155"/>
      <c r="D247" s="155"/>
    </row>
    <row r="248" spans="1:4" ht="15">
      <c r="A248" s="155"/>
      <c r="B248" s="155"/>
      <c r="C248" s="155"/>
      <c r="D248" s="155"/>
    </row>
  </sheetData>
  <sheetProtection/>
  <mergeCells count="20">
    <mergeCell ref="B4:D4"/>
    <mergeCell ref="B136:D136"/>
    <mergeCell ref="B157:D157"/>
    <mergeCell ref="B62:D62"/>
    <mergeCell ref="B106:D106"/>
    <mergeCell ref="B171:D171"/>
    <mergeCell ref="B146:D146"/>
    <mergeCell ref="B103:D103"/>
    <mergeCell ref="B49:B51"/>
    <mergeCell ref="B126:D126"/>
    <mergeCell ref="B182:D182"/>
    <mergeCell ref="A195:D195"/>
    <mergeCell ref="A49:A51"/>
    <mergeCell ref="A7:D7"/>
    <mergeCell ref="A69:D69"/>
    <mergeCell ref="A84:D84"/>
    <mergeCell ref="A189:D189"/>
    <mergeCell ref="A192:D192"/>
    <mergeCell ref="D49:D51"/>
    <mergeCell ref="B115:D115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1"/>
  <sheetViews>
    <sheetView view="pageBreakPreview" zoomScale="85" zoomScaleSheetLayoutView="85" zoomScalePageLayoutView="0" workbookViewId="0" topLeftCell="A1">
      <pane ySplit="8" topLeftCell="A42" activePane="bottomLeft" state="frozen"/>
      <selection pane="topLeft" activeCell="A1" sqref="A1"/>
      <selection pane="bottomLeft" activeCell="D59" sqref="D59"/>
    </sheetView>
  </sheetViews>
  <sheetFormatPr defaultColWidth="9.140625" defaultRowHeight="12.75"/>
  <cols>
    <col min="1" max="1" width="8.7109375" style="125" customWidth="1"/>
    <col min="2" max="2" width="35.8515625" style="125" customWidth="1"/>
    <col min="3" max="3" width="14.7109375" style="125" customWidth="1"/>
    <col min="4" max="4" width="17.421875" style="125" customWidth="1"/>
    <col min="5" max="5" width="14.7109375" style="125" customWidth="1"/>
    <col min="6" max="6" width="21.140625" style="163" customWidth="1"/>
    <col min="7" max="7" width="9.140625" style="125" customWidth="1"/>
    <col min="8" max="8" width="15.00390625" style="125" customWidth="1"/>
    <col min="9" max="9" width="12.7109375" style="125" bestFit="1" customWidth="1"/>
    <col min="10" max="19" width="9.140625" style="125" customWidth="1"/>
    <col min="20" max="20" width="11.421875" style="125" customWidth="1"/>
    <col min="21" max="16384" width="9.140625" style="125" customWidth="1"/>
  </cols>
  <sheetData>
    <row r="1" ht="15.75">
      <c r="F1" s="393" t="s">
        <v>289</v>
      </c>
    </row>
    <row r="3" spans="1:6" s="123" customFormat="1" ht="46.5" customHeight="1">
      <c r="A3" s="740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40"/>
      <c r="C3" s="740"/>
      <c r="D3" s="740"/>
      <c r="E3" s="740"/>
      <c r="F3" s="740"/>
    </row>
    <row r="4" spans="1:6" s="123" customFormat="1" ht="19.5" customHeight="1">
      <c r="A4" s="124"/>
      <c r="B4" s="124"/>
      <c r="C4" s="124"/>
      <c r="D4" s="124"/>
      <c r="E4" s="124"/>
      <c r="F4" s="124"/>
    </row>
    <row r="5" spans="1:6" s="123" customFormat="1" ht="22.5" customHeight="1">
      <c r="A5" s="741" t="s">
        <v>294</v>
      </c>
      <c r="B5" s="741"/>
      <c r="C5" s="741"/>
      <c r="D5" s="741"/>
      <c r="E5" s="741"/>
      <c r="F5" s="741"/>
    </row>
    <row r="6" ht="16.5" thickBot="1"/>
    <row r="7" spans="1:6" ht="20.25" customHeight="1" thickTop="1">
      <c r="A7" s="742" t="s">
        <v>346</v>
      </c>
      <c r="B7" s="744" t="s">
        <v>84</v>
      </c>
      <c r="C7" s="748" t="s">
        <v>178</v>
      </c>
      <c r="D7" s="749"/>
      <c r="E7" s="749"/>
      <c r="F7" s="746" t="s">
        <v>179</v>
      </c>
    </row>
    <row r="8" spans="1:6" ht="67.5" customHeight="1" thickBot="1">
      <c r="A8" s="743"/>
      <c r="B8" s="745"/>
      <c r="C8" s="164" t="s">
        <v>175</v>
      </c>
      <c r="D8" s="165" t="s">
        <v>176</v>
      </c>
      <c r="E8" s="200" t="s">
        <v>177</v>
      </c>
      <c r="F8" s="747"/>
    </row>
    <row r="9" spans="1:6" ht="21.75" customHeight="1" thickBot="1" thickTop="1">
      <c r="A9" s="731" t="s">
        <v>244</v>
      </c>
      <c r="B9" s="732"/>
      <c r="C9" s="732"/>
      <c r="D9" s="732"/>
      <c r="E9" s="732"/>
      <c r="F9" s="732"/>
    </row>
    <row r="10" spans="1:6" ht="33.75" customHeight="1" thickTop="1">
      <c r="A10" s="36">
        <v>6</v>
      </c>
      <c r="B10" s="14" t="s">
        <v>226</v>
      </c>
      <c r="C10" s="286">
        <v>321</v>
      </c>
      <c r="D10" s="289"/>
      <c r="E10" s="289"/>
      <c r="F10" s="201">
        <f>C10+D10+E10</f>
        <v>321</v>
      </c>
    </row>
    <row r="11" spans="1:6" ht="30.75" customHeight="1">
      <c r="A11" s="36">
        <v>5</v>
      </c>
      <c r="B11" s="14" t="s">
        <v>225</v>
      </c>
      <c r="C11" s="286">
        <v>0</v>
      </c>
      <c r="D11" s="289"/>
      <c r="E11" s="289"/>
      <c r="F11" s="201">
        <f>C11+D11+E11</f>
        <v>0</v>
      </c>
    </row>
    <row r="12" spans="1:17" ht="15.75">
      <c r="A12" s="36">
        <v>15</v>
      </c>
      <c r="B12" s="14" t="s">
        <v>16</v>
      </c>
      <c r="C12" s="286">
        <v>59</v>
      </c>
      <c r="D12" s="289"/>
      <c r="E12" s="289"/>
      <c r="F12" s="201">
        <f>C12+D12+E12</f>
        <v>59</v>
      </c>
      <c r="Q12" s="125" t="s">
        <v>58</v>
      </c>
    </row>
    <row r="13" spans="1:6" ht="15.75">
      <c r="A13" s="36">
        <v>15</v>
      </c>
      <c r="B13" s="385" t="s">
        <v>284</v>
      </c>
      <c r="C13" s="600">
        <v>7</v>
      </c>
      <c r="D13" s="289"/>
      <c r="E13" s="289"/>
      <c r="F13" s="201">
        <f>C13+D13+E13</f>
        <v>7</v>
      </c>
    </row>
    <row r="14" spans="1:6" ht="15.75">
      <c r="A14" s="36">
        <v>17</v>
      </c>
      <c r="B14" s="14" t="s">
        <v>49</v>
      </c>
      <c r="C14" s="286">
        <v>160</v>
      </c>
      <c r="D14" s="289"/>
      <c r="E14" s="289"/>
      <c r="F14" s="115">
        <f aca="true" t="shared" si="0" ref="F14:F33">C14+D14+E14</f>
        <v>160</v>
      </c>
    </row>
    <row r="15" spans="1:6" ht="18.75" customHeight="1">
      <c r="A15" s="36">
        <v>17</v>
      </c>
      <c r="B15" s="14" t="s">
        <v>52</v>
      </c>
      <c r="C15" s="286">
        <v>41</v>
      </c>
      <c r="D15" s="289"/>
      <c r="E15" s="289"/>
      <c r="F15" s="115">
        <f t="shared" si="0"/>
        <v>41</v>
      </c>
    </row>
    <row r="16" spans="1:6" ht="18.75" customHeight="1">
      <c r="A16" s="36">
        <v>24</v>
      </c>
      <c r="B16" s="16" t="s">
        <v>481</v>
      </c>
      <c r="C16" s="287">
        <v>40</v>
      </c>
      <c r="D16" s="291"/>
      <c r="E16" s="291"/>
      <c r="F16" s="115">
        <f t="shared" si="0"/>
        <v>40</v>
      </c>
    </row>
    <row r="17" spans="1:6" ht="15.75">
      <c r="A17" s="36">
        <v>26</v>
      </c>
      <c r="B17" s="16" t="s">
        <v>17</v>
      </c>
      <c r="C17" s="287">
        <v>70</v>
      </c>
      <c r="D17" s="291"/>
      <c r="E17" s="291"/>
      <c r="F17" s="168">
        <f t="shared" si="0"/>
        <v>70</v>
      </c>
    </row>
    <row r="18" spans="1:6" ht="15.75">
      <c r="A18" s="36">
        <v>30</v>
      </c>
      <c r="B18" s="14" t="s">
        <v>70</v>
      </c>
      <c r="C18" s="286">
        <v>0</v>
      </c>
      <c r="D18" s="289"/>
      <c r="E18" s="289"/>
      <c r="F18" s="115">
        <f t="shared" si="0"/>
        <v>0</v>
      </c>
    </row>
    <row r="19" spans="1:6" ht="15.75">
      <c r="A19" s="36">
        <v>30</v>
      </c>
      <c r="B19" s="14" t="s">
        <v>285</v>
      </c>
      <c r="C19" s="286">
        <v>0</v>
      </c>
      <c r="D19" s="289"/>
      <c r="E19" s="289"/>
      <c r="F19" s="115">
        <f t="shared" si="0"/>
        <v>0</v>
      </c>
    </row>
    <row r="20" spans="1:7" ht="15.75">
      <c r="A20" s="36">
        <v>34</v>
      </c>
      <c r="B20" s="14" t="s">
        <v>26</v>
      </c>
      <c r="C20" s="286">
        <v>169</v>
      </c>
      <c r="D20" s="289"/>
      <c r="E20" s="289"/>
      <c r="F20" s="115">
        <f t="shared" si="0"/>
        <v>169</v>
      </c>
      <c r="G20" s="128"/>
    </row>
    <row r="21" spans="1:9" ht="16.5" thickTop="1">
      <c r="A21" s="36">
        <v>41</v>
      </c>
      <c r="B21" s="14" t="s">
        <v>18</v>
      </c>
      <c r="C21" s="286">
        <v>143</v>
      </c>
      <c r="D21" s="289"/>
      <c r="E21" s="289"/>
      <c r="F21" s="115">
        <f t="shared" si="0"/>
        <v>143</v>
      </c>
      <c r="I21" s="66"/>
    </row>
    <row r="22" spans="1:9" ht="16.5" thickTop="1">
      <c r="A22" s="36">
        <v>42</v>
      </c>
      <c r="B22" s="14" t="s">
        <v>80</v>
      </c>
      <c r="C22" s="286">
        <v>170</v>
      </c>
      <c r="D22" s="289"/>
      <c r="E22" s="289"/>
      <c r="F22" s="115">
        <f t="shared" si="0"/>
        <v>170</v>
      </c>
      <c r="I22" s="66"/>
    </row>
    <row r="23" spans="1:9" ht="32.25" thickTop="1">
      <c r="A23" s="36">
        <f>A22</f>
        <v>42</v>
      </c>
      <c r="B23" s="14" t="s">
        <v>81</v>
      </c>
      <c r="C23" s="638">
        <f>822+36+220</f>
        <v>1078</v>
      </c>
      <c r="D23" s="289">
        <f>10</f>
        <v>10</v>
      </c>
      <c r="E23" s="289"/>
      <c r="F23" s="115">
        <f t="shared" si="0"/>
        <v>1088</v>
      </c>
      <c r="I23" s="66"/>
    </row>
    <row r="24" spans="1:9" ht="32.25" thickTop="1">
      <c r="A24" s="36">
        <f>A22</f>
        <v>42</v>
      </c>
      <c r="B24" s="14" t="s">
        <v>180</v>
      </c>
      <c r="C24" s="639">
        <f>340-220</f>
        <v>120</v>
      </c>
      <c r="D24" s="289"/>
      <c r="E24" s="289"/>
      <c r="F24" s="115">
        <f t="shared" si="0"/>
        <v>120</v>
      </c>
      <c r="I24" s="66"/>
    </row>
    <row r="25" spans="1:6" ht="16.5" thickTop="1">
      <c r="A25" s="36">
        <v>50</v>
      </c>
      <c r="B25" s="14" t="s">
        <v>347</v>
      </c>
      <c r="C25" s="286">
        <v>150</v>
      </c>
      <c r="D25" s="289"/>
      <c r="E25" s="289"/>
      <c r="F25" s="115">
        <f t="shared" si="0"/>
        <v>150</v>
      </c>
    </row>
    <row r="26" spans="1:6" ht="16.5" thickTop="1">
      <c r="A26" s="36">
        <v>52</v>
      </c>
      <c r="B26" s="14" t="s">
        <v>19</v>
      </c>
      <c r="C26" s="286">
        <v>120</v>
      </c>
      <c r="D26" s="289"/>
      <c r="E26" s="289"/>
      <c r="F26" s="402">
        <f t="shared" si="0"/>
        <v>120</v>
      </c>
    </row>
    <row r="27" spans="1:6" ht="15.75">
      <c r="A27" s="36">
        <v>55</v>
      </c>
      <c r="B27" s="14" t="s">
        <v>24</v>
      </c>
      <c r="C27" s="336">
        <v>111</v>
      </c>
      <c r="D27" s="289">
        <v>30</v>
      </c>
      <c r="E27" s="289">
        <v>76</v>
      </c>
      <c r="F27" s="402">
        <f t="shared" si="0"/>
        <v>217</v>
      </c>
    </row>
    <row r="28" spans="1:6" ht="15.75">
      <c r="A28" s="36">
        <v>65</v>
      </c>
      <c r="B28" s="14" t="s">
        <v>51</v>
      </c>
      <c r="C28" s="336">
        <v>50</v>
      </c>
      <c r="D28" s="289"/>
      <c r="E28" s="289"/>
      <c r="F28" s="402">
        <f t="shared" si="0"/>
        <v>50</v>
      </c>
    </row>
    <row r="29" spans="1:6" ht="15.75">
      <c r="A29" s="36">
        <v>67</v>
      </c>
      <c r="B29" s="14" t="s">
        <v>27</v>
      </c>
      <c r="C29" s="286">
        <v>48</v>
      </c>
      <c r="D29" s="289"/>
      <c r="E29" s="289"/>
      <c r="F29" s="402">
        <f t="shared" si="0"/>
        <v>48</v>
      </c>
    </row>
    <row r="30" spans="1:6" ht="15.75">
      <c r="A30" s="36">
        <v>71</v>
      </c>
      <c r="B30" s="14" t="s">
        <v>21</v>
      </c>
      <c r="C30" s="336">
        <v>434</v>
      </c>
      <c r="D30" s="289">
        <v>478</v>
      </c>
      <c r="E30" s="289">
        <v>130</v>
      </c>
      <c r="F30" s="386">
        <f>C30+D30+E30</f>
        <v>1042</v>
      </c>
    </row>
    <row r="31" spans="1:7" ht="34.5" customHeight="1">
      <c r="A31" s="36">
        <v>74</v>
      </c>
      <c r="B31" s="17" t="s">
        <v>85</v>
      </c>
      <c r="C31" s="286">
        <f>109</f>
        <v>109</v>
      </c>
      <c r="D31" s="289"/>
      <c r="E31" s="289"/>
      <c r="F31" s="402">
        <f t="shared" si="0"/>
        <v>109</v>
      </c>
      <c r="G31" s="128"/>
    </row>
    <row r="32" spans="1:6" ht="16.5" thickTop="1">
      <c r="A32" s="36">
        <v>77</v>
      </c>
      <c r="B32" s="18" t="s">
        <v>48</v>
      </c>
      <c r="C32" s="286">
        <v>110</v>
      </c>
      <c r="D32" s="289"/>
      <c r="E32" s="289"/>
      <c r="F32" s="115">
        <f t="shared" si="0"/>
        <v>110</v>
      </c>
    </row>
    <row r="33" spans="1:7" ht="16.5" thickTop="1">
      <c r="A33" s="36">
        <v>80</v>
      </c>
      <c r="B33" s="18" t="s">
        <v>29</v>
      </c>
      <c r="C33" s="388">
        <f>302</f>
        <v>302</v>
      </c>
      <c r="D33" s="289"/>
      <c r="E33" s="289"/>
      <c r="F33" s="115">
        <f t="shared" si="0"/>
        <v>302</v>
      </c>
      <c r="G33" s="128"/>
    </row>
    <row r="34" spans="1:13" ht="16.5" thickTop="1">
      <c r="A34" s="21"/>
      <c r="B34" s="22" t="s">
        <v>60</v>
      </c>
      <c r="C34" s="389">
        <f>SUM(C10:C33)-C13</f>
        <v>3805</v>
      </c>
      <c r="D34" s="170">
        <f>SUM(D10:D33)-D13</f>
        <v>518</v>
      </c>
      <c r="E34" s="170">
        <f>SUM(E10:E33)-E13</f>
        <v>206</v>
      </c>
      <c r="F34" s="171">
        <f>SUM(F10:F33)-F13</f>
        <v>4529</v>
      </c>
      <c r="G34" s="130"/>
      <c r="H34" s="131"/>
      <c r="I34" s="131"/>
      <c r="J34" s="131"/>
      <c r="K34" s="132"/>
      <c r="L34" s="132"/>
      <c r="M34" s="132"/>
    </row>
    <row r="35" spans="1:13" ht="32.25" thickBot="1">
      <c r="A35" s="27"/>
      <c r="B35" s="157" t="s">
        <v>168</v>
      </c>
      <c r="C35" s="203">
        <f>C23+C22+C24+C13</f>
        <v>1375</v>
      </c>
      <c r="D35" s="203">
        <f>D23+D22+D24</f>
        <v>10</v>
      </c>
      <c r="E35" s="203">
        <f>E23+E22+E24</f>
        <v>0</v>
      </c>
      <c r="F35" s="204">
        <f>C35+D35+E35</f>
        <v>1385</v>
      </c>
      <c r="G35" s="130"/>
      <c r="H35" s="131"/>
      <c r="I35" s="131"/>
      <c r="J35" s="131"/>
      <c r="K35" s="132"/>
      <c r="L35" s="132"/>
      <c r="M35" s="132"/>
    </row>
    <row r="36" spans="1:13" ht="22.5" customHeight="1" hidden="1" thickBot="1" thickTop="1">
      <c r="A36" s="731"/>
      <c r="B36" s="732"/>
      <c r="C36" s="732"/>
      <c r="D36" s="732"/>
      <c r="E36" s="732"/>
      <c r="F36" s="732"/>
      <c r="H36" s="132"/>
      <c r="I36" s="132"/>
      <c r="J36" s="132"/>
      <c r="K36" s="132"/>
      <c r="L36" s="132"/>
      <c r="M36" s="132"/>
    </row>
    <row r="37" spans="1:13" ht="33.75" customHeight="1" hidden="1" thickTop="1">
      <c r="A37" s="24"/>
      <c r="B37" s="25"/>
      <c r="C37" s="24"/>
      <c r="D37" s="172"/>
      <c r="E37" s="172"/>
      <c r="F37" s="173"/>
      <c r="H37" s="132"/>
      <c r="I37" s="132"/>
      <c r="J37" s="132"/>
      <c r="K37" s="132"/>
      <c r="L37" s="132"/>
      <c r="M37" s="132"/>
    </row>
    <row r="38" spans="1:13" ht="33.75" customHeight="1" hidden="1">
      <c r="A38" s="15"/>
      <c r="B38" s="16"/>
      <c r="C38" s="15"/>
      <c r="D38" s="289"/>
      <c r="E38" s="174"/>
      <c r="F38" s="168"/>
      <c r="H38" s="132"/>
      <c r="I38" s="132"/>
      <c r="J38" s="132"/>
      <c r="K38" s="132"/>
      <c r="L38" s="132"/>
      <c r="M38" s="132"/>
    </row>
    <row r="39" spans="1:13" ht="17.25" hidden="1" thickBot="1" thickTop="1">
      <c r="A39" s="26"/>
      <c r="B39" s="14"/>
      <c r="C39" s="20"/>
      <c r="D39" s="8"/>
      <c r="E39" s="8"/>
      <c r="F39" s="115"/>
      <c r="H39" s="132"/>
      <c r="I39" s="132"/>
      <c r="J39" s="132"/>
      <c r="K39" s="132"/>
      <c r="L39" s="132"/>
      <c r="M39" s="132"/>
    </row>
    <row r="40" spans="1:13" ht="17.25" hidden="1" thickBot="1" thickTop="1">
      <c r="A40" s="27"/>
      <c r="B40" s="28"/>
      <c r="C40" s="139"/>
      <c r="D40" s="175"/>
      <c r="E40" s="175"/>
      <c r="F40" s="88"/>
      <c r="K40" s="132"/>
      <c r="L40" s="132"/>
      <c r="M40" s="132"/>
    </row>
    <row r="41" spans="1:13" ht="16.5" hidden="1" thickTop="1">
      <c r="A41" s="27"/>
      <c r="B41" s="157"/>
      <c r="C41" s="202"/>
      <c r="D41" s="203"/>
      <c r="E41" s="203"/>
      <c r="F41" s="204"/>
      <c r="G41" s="130"/>
      <c r="H41" s="131"/>
      <c r="I41" s="131"/>
      <c r="J41" s="131"/>
      <c r="K41" s="132"/>
      <c r="L41" s="132"/>
      <c r="M41" s="132"/>
    </row>
    <row r="42" spans="1:13" ht="17.25" thickBot="1" thickTop="1">
      <c r="A42" s="731" t="s">
        <v>508</v>
      </c>
      <c r="B42" s="732"/>
      <c r="C42" s="732"/>
      <c r="D42" s="732"/>
      <c r="E42" s="732"/>
      <c r="F42" s="732"/>
      <c r="H42" s="132"/>
      <c r="I42" s="132"/>
      <c r="J42" s="132"/>
      <c r="K42" s="132"/>
      <c r="L42" s="132"/>
      <c r="M42" s="132"/>
    </row>
    <row r="43" spans="1:6" ht="16.5" thickTop="1">
      <c r="A43" s="29">
        <v>34</v>
      </c>
      <c r="B43" s="30" t="s">
        <v>31</v>
      </c>
      <c r="C43" s="599">
        <v>36</v>
      </c>
      <c r="D43" s="167"/>
      <c r="E43" s="176"/>
      <c r="F43" s="168">
        <f>C43+D43+E43</f>
        <v>36</v>
      </c>
    </row>
    <row r="44" spans="1:19" ht="15.75">
      <c r="A44" s="29">
        <v>55</v>
      </c>
      <c r="B44" s="30" t="s">
        <v>24</v>
      </c>
      <c r="C44" s="599">
        <v>117</v>
      </c>
      <c r="D44" s="176"/>
      <c r="E44" s="176"/>
      <c r="F44" s="168">
        <f>C44+D44+E44</f>
        <v>117</v>
      </c>
      <c r="P44" s="554"/>
      <c r="Q44" s="554"/>
      <c r="R44" s="554"/>
      <c r="S44" s="554"/>
    </row>
    <row r="45" spans="1:6" ht="16.5" thickBot="1">
      <c r="A45" s="62">
        <v>23</v>
      </c>
      <c r="B45" s="339" t="s">
        <v>22</v>
      </c>
      <c r="C45" s="66">
        <v>14</v>
      </c>
      <c r="D45" s="189"/>
      <c r="E45" s="189"/>
      <c r="F45" s="168">
        <f>C45+D45+E45</f>
        <v>14</v>
      </c>
    </row>
    <row r="46" spans="1:10" ht="17.25" thickBot="1" thickTop="1">
      <c r="A46" s="31"/>
      <c r="B46" s="32" t="s">
        <v>7</v>
      </c>
      <c r="C46" s="141">
        <f>SUM(C43:C45)</f>
        <v>167</v>
      </c>
      <c r="D46" s="175">
        <f>SUM(D43:D45)</f>
        <v>0</v>
      </c>
      <c r="E46" s="175">
        <f>SUM(E43:E45)</f>
        <v>0</v>
      </c>
      <c r="F46" s="88">
        <f>SUM(F43:F45)</f>
        <v>167</v>
      </c>
      <c r="G46" s="130"/>
      <c r="H46" s="130"/>
      <c r="I46" s="130"/>
      <c r="J46" s="130"/>
    </row>
    <row r="47" spans="1:6" ht="17.25" thickBot="1" thickTop="1">
      <c r="A47" s="731" t="s">
        <v>502</v>
      </c>
      <c r="B47" s="732"/>
      <c r="C47" s="732"/>
      <c r="D47" s="732"/>
      <c r="E47" s="732"/>
      <c r="F47" s="732"/>
    </row>
    <row r="48" spans="1:9" s="137" customFormat="1" ht="32.25" thickTop="1">
      <c r="A48" s="35">
        <v>6</v>
      </c>
      <c r="B48" s="30" t="s">
        <v>226</v>
      </c>
      <c r="C48" s="457">
        <v>574</v>
      </c>
      <c r="D48" s="291">
        <v>80</v>
      </c>
      <c r="E48" s="176"/>
      <c r="F48" s="177">
        <f aca="true" t="shared" si="1" ref="F48:F53">C48+D48+E48</f>
        <v>654</v>
      </c>
      <c r="G48" s="125"/>
      <c r="H48" s="142"/>
      <c r="I48" s="143"/>
    </row>
    <row r="49" spans="1:9" s="399" customFormat="1" ht="15.75" customHeight="1">
      <c r="A49" s="396">
        <f>A48</f>
        <v>6</v>
      </c>
      <c r="B49" s="397" t="s">
        <v>53</v>
      </c>
      <c r="C49" s="458">
        <v>265</v>
      </c>
      <c r="D49" s="459">
        <v>80</v>
      </c>
      <c r="E49" s="398"/>
      <c r="F49" s="438">
        <f t="shared" si="1"/>
        <v>345</v>
      </c>
      <c r="H49" s="400"/>
      <c r="I49" s="401"/>
    </row>
    <row r="50" spans="1:9" ht="31.5">
      <c r="A50" s="36">
        <v>5</v>
      </c>
      <c r="B50" s="14" t="s">
        <v>225</v>
      </c>
      <c r="C50" s="444">
        <v>125</v>
      </c>
      <c r="D50" s="460"/>
      <c r="E50" s="166"/>
      <c r="F50" s="178">
        <f t="shared" si="1"/>
        <v>125</v>
      </c>
      <c r="I50" s="130"/>
    </row>
    <row r="51" spans="1:9" ht="15.75">
      <c r="A51" s="29">
        <v>34</v>
      </c>
      <c r="B51" s="30" t="s">
        <v>31</v>
      </c>
      <c r="C51" s="599">
        <v>59</v>
      </c>
      <c r="D51" s="167"/>
      <c r="E51" s="176"/>
      <c r="F51" s="168">
        <f t="shared" si="1"/>
        <v>59</v>
      </c>
      <c r="I51" s="130"/>
    </row>
    <row r="52" spans="1:9" ht="15.75">
      <c r="A52" s="29">
        <v>55</v>
      </c>
      <c r="B52" s="30" t="s">
        <v>24</v>
      </c>
      <c r="C52" s="599">
        <v>83</v>
      </c>
      <c r="D52" s="176"/>
      <c r="E52" s="176"/>
      <c r="F52" s="168">
        <f t="shared" si="1"/>
        <v>83</v>
      </c>
      <c r="I52" s="130"/>
    </row>
    <row r="53" spans="1:9" ht="16.5" thickBot="1">
      <c r="A53" s="62">
        <v>23</v>
      </c>
      <c r="B53" s="339" t="s">
        <v>22</v>
      </c>
      <c r="C53" s="66">
        <v>11</v>
      </c>
      <c r="D53" s="189"/>
      <c r="E53" s="189"/>
      <c r="F53" s="168">
        <f t="shared" si="1"/>
        <v>11</v>
      </c>
      <c r="I53" s="130"/>
    </row>
    <row r="54" spans="1:10" ht="17.25" thickBot="1" thickTop="1">
      <c r="A54" s="31"/>
      <c r="B54" s="32" t="s">
        <v>7</v>
      </c>
      <c r="C54" s="141">
        <f>SUM(C48:C53)-C49</f>
        <v>852</v>
      </c>
      <c r="D54" s="175">
        <f>SUM(D48:D53)-D49</f>
        <v>80</v>
      </c>
      <c r="E54" s="175">
        <f>SUM(E48:E53)-E49</f>
        <v>0</v>
      </c>
      <c r="F54" s="88">
        <f>SUM(F48:F53)-F49</f>
        <v>932</v>
      </c>
      <c r="G54" s="130"/>
      <c r="H54" s="130"/>
      <c r="I54" s="130"/>
      <c r="J54" s="130"/>
    </row>
    <row r="55" spans="1:6" ht="17.25" hidden="1" thickBot="1" thickTop="1">
      <c r="A55" s="731"/>
      <c r="B55" s="732"/>
      <c r="C55" s="732"/>
      <c r="D55" s="732"/>
      <c r="E55" s="732"/>
      <c r="F55" s="732"/>
    </row>
    <row r="56" spans="1:6" ht="17.25" hidden="1" thickBot="1" thickTop="1">
      <c r="A56" s="41"/>
      <c r="B56" s="42"/>
      <c r="C56" s="145"/>
      <c r="D56" s="205"/>
      <c r="E56" s="205"/>
      <c r="F56" s="180"/>
    </row>
    <row r="57" spans="1:10" ht="17.25" hidden="1" thickBot="1" thickTop="1">
      <c r="A57" s="39"/>
      <c r="B57" s="40"/>
      <c r="C57" s="144"/>
      <c r="D57" s="175"/>
      <c r="E57" s="175"/>
      <c r="F57" s="181"/>
      <c r="H57" s="130"/>
      <c r="I57" s="130"/>
      <c r="J57" s="130"/>
    </row>
    <row r="58" spans="1:13" ht="17.25" thickBot="1" thickTop="1">
      <c r="A58" s="731" t="s">
        <v>243</v>
      </c>
      <c r="B58" s="732"/>
      <c r="C58" s="732"/>
      <c r="D58" s="732"/>
      <c r="E58" s="732"/>
      <c r="F58" s="732"/>
      <c r="H58" s="132"/>
      <c r="I58" s="132"/>
      <c r="J58" s="132"/>
      <c r="K58" s="132"/>
      <c r="L58" s="132"/>
      <c r="M58" s="132"/>
    </row>
    <row r="59" spans="1:13" ht="16.5" thickTop="1">
      <c r="A59" s="29">
        <v>71</v>
      </c>
      <c r="B59" s="43" t="s">
        <v>21</v>
      </c>
      <c r="C59" s="15">
        <v>0</v>
      </c>
      <c r="D59" s="640">
        <f>2325+130-52-30</f>
        <v>2373</v>
      </c>
      <c r="E59" s="292">
        <f>130-130</f>
        <v>0</v>
      </c>
      <c r="F59" s="168">
        <f>C59+D59+E59</f>
        <v>2373</v>
      </c>
      <c r="H59" s="132"/>
      <c r="I59" s="132"/>
      <c r="J59" s="132"/>
      <c r="K59" s="132"/>
      <c r="L59" s="132"/>
      <c r="M59" s="132"/>
    </row>
    <row r="60" spans="1:13" ht="15.75">
      <c r="A60" s="44">
        <v>80</v>
      </c>
      <c r="B60" s="45" t="s">
        <v>29</v>
      </c>
      <c r="C60" s="19">
        <v>0</v>
      </c>
      <c r="D60" s="552">
        <f>152+18</f>
        <v>170</v>
      </c>
      <c r="E60" s="552">
        <f>18-18</f>
        <v>0</v>
      </c>
      <c r="F60" s="115">
        <f>C60+D60+E60</f>
        <v>170</v>
      </c>
      <c r="H60" s="132"/>
      <c r="I60" s="132"/>
      <c r="J60" s="132"/>
      <c r="K60" s="132"/>
      <c r="L60" s="132"/>
      <c r="M60" s="132"/>
    </row>
    <row r="61" spans="1:13" ht="15.75">
      <c r="A61" s="36">
        <v>85</v>
      </c>
      <c r="B61" s="37" t="s">
        <v>22</v>
      </c>
      <c r="C61" s="19">
        <v>0</v>
      </c>
      <c r="D61" s="552">
        <v>30</v>
      </c>
      <c r="E61" s="553"/>
      <c r="F61" s="461">
        <f>C61+D61+E61</f>
        <v>30</v>
      </c>
      <c r="H61" s="132"/>
      <c r="I61" s="132"/>
      <c r="J61" s="132"/>
      <c r="K61" s="132"/>
      <c r="L61" s="132"/>
      <c r="M61" s="132"/>
    </row>
    <row r="62" spans="1:13" ht="16.5" thickBot="1">
      <c r="A62" s="62">
        <v>30</v>
      </c>
      <c r="B62" s="339" t="s">
        <v>367</v>
      </c>
      <c r="C62" s="66">
        <v>0</v>
      </c>
      <c r="D62" s="189">
        <v>340</v>
      </c>
      <c r="E62" s="189"/>
      <c r="F62" s="168">
        <f>C62+D62+E62</f>
        <v>340</v>
      </c>
      <c r="H62" s="132"/>
      <c r="I62" s="132"/>
      <c r="J62" s="132"/>
      <c r="K62" s="132"/>
      <c r="L62" s="132"/>
      <c r="M62" s="132"/>
    </row>
    <row r="63" spans="1:13" ht="17.25" thickBot="1" thickTop="1">
      <c r="A63" s="31"/>
      <c r="B63" s="47" t="s">
        <v>7</v>
      </c>
      <c r="C63" s="139">
        <f>SUM(C59:C62)</f>
        <v>0</v>
      </c>
      <c r="D63" s="183">
        <f>SUM(D59:D62)</f>
        <v>2913</v>
      </c>
      <c r="E63" s="183">
        <f>SUM(E59:E62)</f>
        <v>0</v>
      </c>
      <c r="F63" s="183">
        <f>SUM(F59:F62)</f>
        <v>2913</v>
      </c>
      <c r="H63" s="131"/>
      <c r="I63" s="131"/>
      <c r="J63" s="131"/>
      <c r="K63" s="132"/>
      <c r="L63" s="132"/>
      <c r="M63" s="132"/>
    </row>
    <row r="64" spans="1:6" ht="17.25" thickBot="1" thickTop="1">
      <c r="A64" s="731" t="s">
        <v>302</v>
      </c>
      <c r="B64" s="732"/>
      <c r="C64" s="732"/>
      <c r="D64" s="732"/>
      <c r="E64" s="732"/>
      <c r="F64" s="732"/>
    </row>
    <row r="65" spans="1:6" ht="32.25" thickTop="1">
      <c r="A65" s="33">
        <v>6</v>
      </c>
      <c r="B65" s="30" t="s">
        <v>226</v>
      </c>
      <c r="C65" s="444">
        <v>200</v>
      </c>
      <c r="D65" s="184">
        <v>0</v>
      </c>
      <c r="E65" s="184">
        <v>0</v>
      </c>
      <c r="F65" s="168">
        <f aca="true" t="shared" si="2" ref="F65:F71">C65+D65+E65</f>
        <v>200</v>
      </c>
    </row>
    <row r="66" spans="1:7" s="137" customFormat="1" ht="15.75">
      <c r="A66" s="50">
        <v>80</v>
      </c>
      <c r="B66" s="45" t="s">
        <v>29</v>
      </c>
      <c r="C66" s="444">
        <v>110</v>
      </c>
      <c r="D66" s="167">
        <v>0</v>
      </c>
      <c r="E66" s="167">
        <v>0</v>
      </c>
      <c r="F66" s="115">
        <f t="shared" si="2"/>
        <v>110</v>
      </c>
      <c r="G66" s="125"/>
    </row>
    <row r="67" spans="1:7" s="137" customFormat="1" ht="15.75">
      <c r="A67" s="443">
        <v>21</v>
      </c>
      <c r="B67" s="45" t="s">
        <v>227</v>
      </c>
      <c r="C67" s="445">
        <v>30</v>
      </c>
      <c r="D67" s="167"/>
      <c r="E67" s="167"/>
      <c r="F67" s="115">
        <f t="shared" si="2"/>
        <v>30</v>
      </c>
      <c r="G67" s="125"/>
    </row>
    <row r="68" spans="1:7" s="137" customFormat="1" ht="15.75">
      <c r="A68" s="443">
        <v>77</v>
      </c>
      <c r="B68" s="45" t="s">
        <v>48</v>
      </c>
      <c r="C68" s="445">
        <v>0</v>
      </c>
      <c r="D68" s="167">
        <v>0</v>
      </c>
      <c r="E68" s="167">
        <v>0</v>
      </c>
      <c r="F68" s="115">
        <f t="shared" si="2"/>
        <v>0</v>
      </c>
      <c r="G68" s="125"/>
    </row>
    <row r="69" spans="1:7" s="137" customFormat="1" ht="15.75">
      <c r="A69" s="443">
        <v>50</v>
      </c>
      <c r="B69" s="45" t="s">
        <v>347</v>
      </c>
      <c r="C69" s="445">
        <v>30</v>
      </c>
      <c r="D69" s="187"/>
      <c r="E69" s="187"/>
      <c r="F69" s="115">
        <f t="shared" si="2"/>
        <v>30</v>
      </c>
      <c r="G69" s="125"/>
    </row>
    <row r="70" spans="1:6" ht="16.5" thickBot="1">
      <c r="A70" s="38">
        <v>29</v>
      </c>
      <c r="B70" s="51" t="s">
        <v>50</v>
      </c>
      <c r="C70" s="446">
        <v>50</v>
      </c>
      <c r="D70" s="185">
        <v>0</v>
      </c>
      <c r="E70" s="185">
        <v>0</v>
      </c>
      <c r="F70" s="182">
        <f t="shared" si="2"/>
        <v>50</v>
      </c>
    </row>
    <row r="71" spans="1:10" ht="17.25" thickBot="1" thickTop="1">
      <c r="A71" s="412"/>
      <c r="B71" s="47" t="s">
        <v>7</v>
      </c>
      <c r="C71" s="146">
        <f>SUM(C65:C70)</f>
        <v>420</v>
      </c>
      <c r="D71" s="146">
        <f>SUM(D65:D70)</f>
        <v>0</v>
      </c>
      <c r="E71" s="146">
        <f>SUM(E65:E70)</f>
        <v>0</v>
      </c>
      <c r="F71" s="183">
        <f t="shared" si="2"/>
        <v>420</v>
      </c>
      <c r="H71" s="130"/>
      <c r="I71" s="130"/>
      <c r="J71" s="130"/>
    </row>
    <row r="72" spans="1:6" ht="17.25" hidden="1" thickBot="1" thickTop="1">
      <c r="A72" s="731"/>
      <c r="B72" s="732"/>
      <c r="C72" s="732"/>
      <c r="D72" s="732"/>
      <c r="E72" s="732"/>
      <c r="F72" s="732"/>
    </row>
    <row r="73" spans="1:6" ht="16.5" hidden="1" thickTop="1">
      <c r="A73" s="29"/>
      <c r="B73" s="30"/>
      <c r="C73" s="287"/>
      <c r="D73" s="184"/>
      <c r="E73" s="184"/>
      <c r="F73" s="177"/>
    </row>
    <row r="74" spans="1:6" ht="15.75" hidden="1">
      <c r="A74" s="36"/>
      <c r="B74" s="37"/>
      <c r="C74" s="286"/>
      <c r="D74" s="167"/>
      <c r="E74" s="167"/>
      <c r="F74" s="178"/>
    </row>
    <row r="75" spans="1:6" ht="15.75" hidden="1">
      <c r="A75" s="36"/>
      <c r="B75" s="37"/>
      <c r="C75" s="13"/>
      <c r="D75" s="167"/>
      <c r="E75" s="167"/>
      <c r="F75" s="178"/>
    </row>
    <row r="76" spans="1:6" ht="15.75" hidden="1">
      <c r="A76" s="29"/>
      <c r="B76" s="30"/>
      <c r="C76" s="15"/>
      <c r="D76" s="292"/>
      <c r="E76" s="167"/>
      <c r="F76" s="177"/>
    </row>
    <row r="77" spans="1:6" ht="15.75" hidden="1">
      <c r="A77" s="53"/>
      <c r="B77" s="37"/>
      <c r="C77" s="13"/>
      <c r="D77" s="167"/>
      <c r="E77" s="167"/>
      <c r="F77" s="178"/>
    </row>
    <row r="78" spans="1:6" ht="16.5" hidden="1" thickBot="1">
      <c r="A78" s="54"/>
      <c r="B78" s="46"/>
      <c r="C78" s="20"/>
      <c r="D78" s="167"/>
      <c r="E78" s="167"/>
      <c r="F78" s="188"/>
    </row>
    <row r="79" spans="1:10" ht="17.25" hidden="1" thickBot="1" thickTop="1">
      <c r="A79" s="31"/>
      <c r="B79" s="32"/>
      <c r="C79" s="139"/>
      <c r="D79" s="175"/>
      <c r="E79" s="175"/>
      <c r="F79" s="88"/>
      <c r="H79" s="130"/>
      <c r="I79" s="130"/>
      <c r="J79" s="130"/>
    </row>
    <row r="80" spans="1:6" ht="17.25" hidden="1" thickBot="1" thickTop="1">
      <c r="A80" s="731"/>
      <c r="B80" s="732"/>
      <c r="C80" s="732"/>
      <c r="D80" s="732"/>
      <c r="E80" s="732"/>
      <c r="F80" s="732"/>
    </row>
    <row r="81" spans="1:6" ht="16.5" hidden="1" thickTop="1">
      <c r="A81" s="33"/>
      <c r="B81" s="48"/>
      <c r="C81" s="288"/>
      <c r="D81" s="184"/>
      <c r="E81" s="184"/>
      <c r="F81" s="171"/>
    </row>
    <row r="82" spans="1:6" ht="15.75" hidden="1">
      <c r="A82" s="36"/>
      <c r="B82" s="49"/>
      <c r="C82" s="286"/>
      <c r="D82" s="166"/>
      <c r="E82" s="166"/>
      <c r="F82" s="178"/>
    </row>
    <row r="83" spans="1:6" ht="15.75" hidden="1">
      <c r="A83" s="36"/>
      <c r="B83" s="49"/>
      <c r="C83" s="286"/>
      <c r="D83" s="167"/>
      <c r="E83" s="167"/>
      <c r="F83" s="178"/>
    </row>
    <row r="84" spans="1:6" ht="15.75" hidden="1">
      <c r="A84" s="44"/>
      <c r="B84" s="37"/>
      <c r="C84" s="13"/>
      <c r="D84" s="292"/>
      <c r="E84" s="292"/>
      <c r="F84" s="178"/>
    </row>
    <row r="85" spans="1:6" ht="16.5" hidden="1" thickBot="1">
      <c r="A85" s="44"/>
      <c r="B85" s="55"/>
      <c r="C85" s="20"/>
      <c r="D85" s="185"/>
      <c r="E85" s="187"/>
      <c r="F85" s="188"/>
    </row>
    <row r="86" spans="1:10" ht="17.25" hidden="1" thickBot="1" thickTop="1">
      <c r="A86" s="31"/>
      <c r="B86" s="28"/>
      <c r="C86" s="139"/>
      <c r="D86" s="175"/>
      <c r="E86" s="175"/>
      <c r="F86" s="88"/>
      <c r="H86" s="130"/>
      <c r="J86" s="130"/>
    </row>
    <row r="87" spans="1:6" ht="17.25" customHeight="1" hidden="1" thickBot="1" thickTop="1">
      <c r="A87" s="731"/>
      <c r="B87" s="732"/>
      <c r="C87" s="732"/>
      <c r="D87" s="732"/>
      <c r="E87" s="732"/>
      <c r="F87" s="732"/>
    </row>
    <row r="88" spans="1:6" ht="16.5" hidden="1" thickTop="1">
      <c r="A88" s="21"/>
      <c r="B88" s="34"/>
      <c r="C88" s="13"/>
      <c r="D88" s="184"/>
      <c r="E88" s="184"/>
      <c r="F88" s="178"/>
    </row>
    <row r="89" spans="1:6" ht="15.75" hidden="1">
      <c r="A89" s="36"/>
      <c r="B89" s="37"/>
      <c r="C89" s="13"/>
      <c r="D89" s="176"/>
      <c r="E89" s="176"/>
      <c r="F89" s="178"/>
    </row>
    <row r="90" spans="1:6" ht="15.75" hidden="1">
      <c r="A90" s="36"/>
      <c r="B90" s="37"/>
      <c r="C90" s="126"/>
      <c r="D90" s="291"/>
      <c r="E90" s="291"/>
      <c r="F90" s="178"/>
    </row>
    <row r="91" spans="1:6" ht="15.75" hidden="1">
      <c r="A91" s="36"/>
      <c r="B91" s="37"/>
      <c r="C91" s="13"/>
      <c r="D91" s="292"/>
      <c r="E91" s="292"/>
      <c r="F91" s="178"/>
    </row>
    <row r="92" spans="1:6" ht="16.5" hidden="1" thickBot="1">
      <c r="A92" s="54"/>
      <c r="B92" s="46"/>
      <c r="C92" s="59"/>
      <c r="D92" s="185"/>
      <c r="E92" s="185"/>
      <c r="F92" s="186"/>
    </row>
    <row r="93" spans="1:14" ht="17.25" hidden="1" thickBot="1" thickTop="1">
      <c r="A93" s="31"/>
      <c r="B93" s="32"/>
      <c r="C93" s="139"/>
      <c r="D93" s="175"/>
      <c r="E93" s="175"/>
      <c r="F93" s="88"/>
      <c r="H93" s="130"/>
      <c r="J93" s="130"/>
      <c r="M93" s="130"/>
      <c r="N93" s="130"/>
    </row>
    <row r="94" spans="1:6" ht="17.25" hidden="1" thickBot="1" thickTop="1">
      <c r="A94" s="731"/>
      <c r="B94" s="732"/>
      <c r="C94" s="732"/>
      <c r="D94" s="732"/>
      <c r="E94" s="732"/>
      <c r="F94" s="732"/>
    </row>
    <row r="95" spans="1:13" ht="16.5" hidden="1" thickTop="1">
      <c r="A95" s="36"/>
      <c r="B95" s="49"/>
      <c r="C95" s="13"/>
      <c r="D95" s="290"/>
      <c r="E95" s="290"/>
      <c r="F95" s="178"/>
      <c r="H95" s="130"/>
      <c r="I95" s="130"/>
      <c r="J95" s="130"/>
      <c r="K95" s="130"/>
      <c r="L95" s="130"/>
      <c r="M95" s="130"/>
    </row>
    <row r="96" spans="1:6" ht="15.75" hidden="1">
      <c r="A96" s="29"/>
      <c r="B96" s="56"/>
      <c r="C96" s="15"/>
      <c r="D96" s="291"/>
      <c r="E96" s="291"/>
      <c r="F96" s="177"/>
    </row>
    <row r="97" spans="1:6" ht="15.75" hidden="1">
      <c r="A97" s="36"/>
      <c r="B97" s="49"/>
      <c r="C97" s="13"/>
      <c r="D97" s="292"/>
      <c r="E97" s="292"/>
      <c r="F97" s="178"/>
    </row>
    <row r="98" spans="1:12" ht="16.5" hidden="1" thickBot="1">
      <c r="A98" s="38"/>
      <c r="B98" s="51"/>
      <c r="C98" s="59"/>
      <c r="D98" s="185"/>
      <c r="E98" s="185"/>
      <c r="F98" s="186"/>
      <c r="H98" s="130"/>
      <c r="L98" s="130"/>
    </row>
    <row r="99" spans="1:12" ht="17.25" hidden="1" thickBot="1" thickTop="1">
      <c r="A99" s="39"/>
      <c r="B99" s="52"/>
      <c r="C99" s="144"/>
      <c r="D99" s="175"/>
      <c r="E99" s="179"/>
      <c r="F99" s="181"/>
      <c r="H99" s="130"/>
      <c r="I99" s="130"/>
      <c r="J99" s="130"/>
      <c r="K99" s="130"/>
      <c r="L99" s="130"/>
    </row>
    <row r="100" spans="1:6" ht="17.25" hidden="1" thickBot="1" thickTop="1">
      <c r="A100" s="731"/>
      <c r="B100" s="732"/>
      <c r="C100" s="732"/>
      <c r="D100" s="732"/>
      <c r="E100" s="732"/>
      <c r="F100" s="732"/>
    </row>
    <row r="101" spans="1:6" ht="16.5" hidden="1" thickTop="1">
      <c r="A101" s="33"/>
      <c r="B101" s="34"/>
      <c r="C101" s="24"/>
      <c r="D101" s="184"/>
      <c r="E101" s="184"/>
      <c r="F101" s="171"/>
    </row>
    <row r="102" spans="1:6" ht="15.75" hidden="1">
      <c r="A102" s="36"/>
      <c r="B102" s="37"/>
      <c r="C102" s="13"/>
      <c r="D102" s="176"/>
      <c r="E102" s="176"/>
      <c r="F102" s="178"/>
    </row>
    <row r="103" spans="1:6" ht="15.75" hidden="1">
      <c r="A103" s="36"/>
      <c r="B103" s="37"/>
      <c r="C103" s="13"/>
      <c r="D103" s="176"/>
      <c r="E103" s="176"/>
      <c r="F103" s="178"/>
    </row>
    <row r="104" spans="1:6" ht="15.75" hidden="1">
      <c r="A104" s="36"/>
      <c r="B104" s="37"/>
      <c r="C104" s="13"/>
      <c r="D104" s="292"/>
      <c r="E104" s="176"/>
      <c r="F104" s="178"/>
    </row>
    <row r="105" spans="1:6" ht="16.5" hidden="1" thickBot="1">
      <c r="A105" s="44"/>
      <c r="B105" s="46"/>
      <c r="C105" s="59"/>
      <c r="D105" s="185"/>
      <c r="E105" s="185"/>
      <c r="F105" s="186"/>
    </row>
    <row r="106" spans="1:14" ht="17.25" hidden="1" thickBot="1" thickTop="1">
      <c r="A106" s="31"/>
      <c r="B106" s="32"/>
      <c r="C106" s="148"/>
      <c r="D106" s="175"/>
      <c r="E106" s="175"/>
      <c r="F106" s="88"/>
      <c r="H106" s="130"/>
      <c r="I106" s="130"/>
      <c r="J106" s="130"/>
      <c r="M106" s="130"/>
      <c r="N106" s="130"/>
    </row>
    <row r="107" spans="1:6" ht="17.25" hidden="1" thickBot="1" thickTop="1">
      <c r="A107" s="731"/>
      <c r="B107" s="732"/>
      <c r="C107" s="732"/>
      <c r="D107" s="732"/>
      <c r="E107" s="732"/>
      <c r="F107" s="732"/>
    </row>
    <row r="108" spans="1:6" ht="16.5" hidden="1" thickTop="1">
      <c r="A108" s="36"/>
      <c r="B108" s="49"/>
      <c r="C108" s="13"/>
      <c r="D108" s="184"/>
      <c r="E108" s="184"/>
      <c r="F108" s="178"/>
    </row>
    <row r="109" spans="1:6" ht="15.75" hidden="1">
      <c r="A109" s="29"/>
      <c r="B109" s="56"/>
      <c r="C109" s="127"/>
      <c r="D109" s="176"/>
      <c r="E109" s="291"/>
      <c r="F109" s="177"/>
    </row>
    <row r="110" spans="1:6" ht="15.75" hidden="1">
      <c r="A110" s="44"/>
      <c r="B110" s="49"/>
      <c r="C110" s="20"/>
      <c r="D110" s="292"/>
      <c r="E110" s="292"/>
      <c r="F110" s="178"/>
    </row>
    <row r="111" spans="1:6" ht="15.75" hidden="1">
      <c r="A111" s="36"/>
      <c r="B111" s="49"/>
      <c r="C111" s="13"/>
      <c r="D111" s="167"/>
      <c r="E111" s="176"/>
      <c r="F111" s="177"/>
    </row>
    <row r="112" spans="1:6" ht="16.5" hidden="1" thickBot="1">
      <c r="A112" s="59"/>
      <c r="B112" s="60"/>
      <c r="C112" s="59"/>
      <c r="D112" s="185"/>
      <c r="E112" s="189"/>
      <c r="F112" s="190"/>
    </row>
    <row r="113" spans="1:14" ht="17.25" hidden="1" thickBot="1" thickTop="1">
      <c r="A113" s="31"/>
      <c r="B113" s="28"/>
      <c r="C113" s="139"/>
      <c r="D113" s="175"/>
      <c r="E113" s="175"/>
      <c r="F113" s="88"/>
      <c r="H113" s="130"/>
      <c r="I113" s="130"/>
      <c r="J113" s="130"/>
      <c r="M113" s="130"/>
      <c r="N113" s="130"/>
    </row>
    <row r="114" spans="1:14" ht="17.25" hidden="1" thickBot="1" thickTop="1">
      <c r="A114" s="731"/>
      <c r="B114" s="732"/>
      <c r="C114" s="732"/>
      <c r="D114" s="732"/>
      <c r="E114" s="732"/>
      <c r="F114" s="732"/>
      <c r="H114" s="130"/>
      <c r="I114" s="130"/>
      <c r="J114" s="130"/>
      <c r="M114" s="130"/>
      <c r="N114" s="130"/>
    </row>
    <row r="115" spans="1:14" ht="16.5" hidden="1" thickTop="1">
      <c r="A115" s="33"/>
      <c r="B115" s="34"/>
      <c r="C115" s="24"/>
      <c r="D115" s="184"/>
      <c r="E115" s="184"/>
      <c r="F115" s="171"/>
      <c r="H115" s="130"/>
      <c r="I115" s="130"/>
      <c r="J115" s="130"/>
      <c r="M115" s="130"/>
      <c r="N115" s="130"/>
    </row>
    <row r="116" spans="1:14" ht="15.75" hidden="1">
      <c r="A116" s="29"/>
      <c r="B116" s="57"/>
      <c r="C116" s="68"/>
      <c r="D116" s="207"/>
      <c r="E116" s="207"/>
      <c r="F116" s="206"/>
      <c r="H116" s="130"/>
      <c r="I116" s="130"/>
      <c r="J116" s="130"/>
      <c r="M116" s="130"/>
      <c r="N116" s="130"/>
    </row>
    <row r="117" spans="1:14" ht="15.75" hidden="1">
      <c r="A117" s="36"/>
      <c r="B117" s="37"/>
      <c r="C117" s="13"/>
      <c r="D117" s="176"/>
      <c r="E117" s="176"/>
      <c r="F117" s="178"/>
      <c r="H117" s="130"/>
      <c r="I117" s="130"/>
      <c r="J117" s="130"/>
      <c r="M117" s="130"/>
      <c r="N117" s="130"/>
    </row>
    <row r="118" spans="1:14" ht="15.75" hidden="1">
      <c r="A118" s="36"/>
      <c r="B118" s="37"/>
      <c r="C118" s="13"/>
      <c r="D118" s="174"/>
      <c r="E118" s="176"/>
      <c r="F118" s="178"/>
      <c r="H118" s="130"/>
      <c r="I118" s="130"/>
      <c r="J118" s="130"/>
      <c r="M118" s="130"/>
      <c r="N118" s="130"/>
    </row>
    <row r="119" spans="1:14" ht="16.5" hidden="1" thickBot="1">
      <c r="A119" s="44"/>
      <c r="B119" s="46"/>
      <c r="C119" s="59"/>
      <c r="D119" s="185"/>
      <c r="E119" s="185"/>
      <c r="F119" s="186"/>
      <c r="H119" s="130"/>
      <c r="I119" s="130"/>
      <c r="J119" s="130"/>
      <c r="M119" s="130"/>
      <c r="N119" s="130"/>
    </row>
    <row r="120" spans="1:14" ht="17.25" hidden="1" thickBot="1" thickTop="1">
      <c r="A120" s="31"/>
      <c r="B120" s="32"/>
      <c r="C120" s="148"/>
      <c r="D120" s="175"/>
      <c r="E120" s="175"/>
      <c r="F120" s="88"/>
      <c r="H120" s="130"/>
      <c r="I120" s="130"/>
      <c r="J120" s="130"/>
      <c r="M120" s="130"/>
      <c r="N120" s="130"/>
    </row>
    <row r="121" spans="1:10" ht="48" thickTop="1">
      <c r="A121" s="33"/>
      <c r="B121" s="22" t="s">
        <v>301</v>
      </c>
      <c r="C121" s="169">
        <f>C113+C106+C99+C93+C86+C79+C71+C63+C57+C54+C46+C40+C34+C120</f>
        <v>5244</v>
      </c>
      <c r="D121" s="170">
        <f>D113+D106+D99+D93+D86+D79+D71+D63+D57+D54+D46+D40+D34+D120</f>
        <v>3511</v>
      </c>
      <c r="E121" s="170">
        <f>E113+E106+E99+E93+E86+E79+E71+E63+E57+E54+E46+E40+E34+E120</f>
        <v>206</v>
      </c>
      <c r="F121" s="171">
        <f>F113+F106+F99+F93+F86+F79+F71+F63+F57+F54+F46+F40+F34+F120</f>
        <v>8961</v>
      </c>
      <c r="H121" s="130"/>
      <c r="I121" s="130"/>
      <c r="J121" s="130"/>
    </row>
    <row r="122" spans="1:10" ht="32.25" thickBot="1">
      <c r="A122" s="27"/>
      <c r="B122" s="157" t="s">
        <v>168</v>
      </c>
      <c r="C122" s="202">
        <f>C35+C41</f>
        <v>1375</v>
      </c>
      <c r="D122" s="203">
        <f>D35+D41</f>
        <v>10</v>
      </c>
      <c r="E122" s="203">
        <f>E35+E41</f>
        <v>0</v>
      </c>
      <c r="F122" s="204">
        <f>C122+D122+E122</f>
        <v>1385</v>
      </c>
      <c r="H122" s="130"/>
      <c r="I122" s="130"/>
      <c r="J122" s="130"/>
    </row>
    <row r="123" spans="1:6" ht="17.25" thickBot="1" thickTop="1">
      <c r="A123" s="731" t="s">
        <v>246</v>
      </c>
      <c r="B123" s="732"/>
      <c r="C123" s="732"/>
      <c r="D123" s="732"/>
      <c r="E123" s="732"/>
      <c r="F123" s="732"/>
    </row>
    <row r="124" spans="1:8" ht="27" customHeight="1" thickTop="1">
      <c r="A124" s="1">
        <v>8</v>
      </c>
      <c r="B124" s="2" t="s">
        <v>57</v>
      </c>
      <c r="C124" s="191">
        <v>15</v>
      </c>
      <c r="D124" s="167">
        <v>0</v>
      </c>
      <c r="E124" s="189">
        <v>0</v>
      </c>
      <c r="F124" s="190">
        <f>C124+D124+E124</f>
        <v>15</v>
      </c>
      <c r="H124" s="130"/>
    </row>
    <row r="125" spans="1:8" ht="16.5" thickBot="1">
      <c r="A125" s="38"/>
      <c r="B125" s="61" t="s">
        <v>59</v>
      </c>
      <c r="C125" s="192">
        <f>C124</f>
        <v>15</v>
      </c>
      <c r="D125" s="193">
        <f>D124</f>
        <v>0</v>
      </c>
      <c r="E125" s="193">
        <f>E124</f>
        <v>0</v>
      </c>
      <c r="F125" s="182">
        <f>F124</f>
        <v>15</v>
      </c>
      <c r="H125" s="130"/>
    </row>
    <row r="126" spans="1:6" ht="17.25" thickBot="1" thickTop="1">
      <c r="A126" s="731" t="s">
        <v>363</v>
      </c>
      <c r="B126" s="732"/>
      <c r="C126" s="732"/>
      <c r="D126" s="732"/>
      <c r="E126" s="732"/>
      <c r="F126" s="732"/>
    </row>
    <row r="127" spans="1:6" ht="31.5" customHeight="1" thickTop="1">
      <c r="A127" s="8">
        <v>8</v>
      </c>
      <c r="B127" s="2" t="s">
        <v>57</v>
      </c>
      <c r="C127" s="191">
        <v>8</v>
      </c>
      <c r="D127" s="167">
        <v>0</v>
      </c>
      <c r="E127" s="189">
        <v>0</v>
      </c>
      <c r="F127" s="190">
        <f>C127+D127+E127</f>
        <v>8</v>
      </c>
    </row>
    <row r="128" spans="1:6" ht="16.5" thickBot="1">
      <c r="A128" s="38"/>
      <c r="B128" s="61" t="s">
        <v>7</v>
      </c>
      <c r="C128" s="192">
        <f>C127</f>
        <v>8</v>
      </c>
      <c r="D128" s="193">
        <f>D127</f>
        <v>0</v>
      </c>
      <c r="E128" s="193">
        <f>E127</f>
        <v>0</v>
      </c>
      <c r="F128" s="182">
        <f>F127</f>
        <v>8</v>
      </c>
    </row>
    <row r="129" spans="1:6" ht="33.75" customHeight="1" thickBot="1" thickTop="1">
      <c r="A129" s="731" t="s">
        <v>361</v>
      </c>
      <c r="B129" s="732"/>
      <c r="C129" s="732"/>
      <c r="D129" s="732"/>
      <c r="E129" s="732"/>
      <c r="F129" s="732"/>
    </row>
    <row r="130" spans="1:6" ht="16.5" thickTop="1">
      <c r="A130" s="8">
        <v>52</v>
      </c>
      <c r="B130" s="2" t="s">
        <v>2</v>
      </c>
      <c r="C130" s="191">
        <v>6</v>
      </c>
      <c r="D130" s="167">
        <v>0</v>
      </c>
      <c r="E130" s="189">
        <v>0</v>
      </c>
      <c r="F130" s="190">
        <f>C130+D130+E130</f>
        <v>6</v>
      </c>
    </row>
    <row r="131" spans="1:6" ht="16.5" thickBot="1">
      <c r="A131" s="38"/>
      <c r="B131" s="61" t="s">
        <v>7</v>
      </c>
      <c r="C131" s="192">
        <f>C130</f>
        <v>6</v>
      </c>
      <c r="D131" s="193">
        <f>D130</f>
        <v>0</v>
      </c>
      <c r="E131" s="193">
        <f>E130</f>
        <v>0</v>
      </c>
      <c r="F131" s="182">
        <f>F130</f>
        <v>6</v>
      </c>
    </row>
    <row r="132" spans="1:6" ht="17.25" thickBot="1" thickTop="1">
      <c r="A132" s="750" t="s">
        <v>521</v>
      </c>
      <c r="B132" s="751"/>
      <c r="C132" s="751"/>
      <c r="D132" s="751"/>
      <c r="E132" s="751"/>
      <c r="F132" s="751"/>
    </row>
    <row r="133" spans="1:6" ht="16.5" thickTop="1">
      <c r="A133" s="641">
        <v>50</v>
      </c>
      <c r="B133" s="642" t="s">
        <v>347</v>
      </c>
      <c r="C133" s="643">
        <v>30</v>
      </c>
      <c r="D133" s="644">
        <v>0</v>
      </c>
      <c r="E133" s="645">
        <v>0</v>
      </c>
      <c r="F133" s="646">
        <f>C133+D133+E133</f>
        <v>30</v>
      </c>
    </row>
    <row r="134" spans="1:6" ht="16.5" thickBot="1">
      <c r="A134" s="647"/>
      <c r="B134" s="648" t="s">
        <v>7</v>
      </c>
      <c r="C134" s="649">
        <f>C133</f>
        <v>30</v>
      </c>
      <c r="D134" s="650">
        <f>D133</f>
        <v>0</v>
      </c>
      <c r="E134" s="650">
        <f>E133</f>
        <v>0</v>
      </c>
      <c r="F134" s="651">
        <f>F133</f>
        <v>30</v>
      </c>
    </row>
    <row r="135" spans="1:6" ht="32.25" thickTop="1">
      <c r="A135" s="194"/>
      <c r="B135" s="195" t="s">
        <v>181</v>
      </c>
      <c r="C135" s="217">
        <f>C134+C131+C128+C125</f>
        <v>59</v>
      </c>
      <c r="D135" s="197">
        <f>D134+D131+D128+D125</f>
        <v>0</v>
      </c>
      <c r="E135" s="197">
        <f>E134+E131+E128+E125</f>
        <v>0</v>
      </c>
      <c r="F135" s="216">
        <f>C135+D135+E135</f>
        <v>59</v>
      </c>
    </row>
    <row r="136" spans="1:6" ht="15.75">
      <c r="A136" s="218"/>
      <c r="B136" s="211" t="s">
        <v>182</v>
      </c>
      <c r="C136" s="212">
        <f>C124+C127</f>
        <v>23</v>
      </c>
      <c r="D136" s="213">
        <f>D124+D127</f>
        <v>0</v>
      </c>
      <c r="E136" s="213">
        <f>E124+E127</f>
        <v>0</v>
      </c>
      <c r="F136" s="214">
        <f>F124+F127</f>
        <v>23</v>
      </c>
    </row>
    <row r="137" spans="1:6" ht="31.5">
      <c r="A137" s="27"/>
      <c r="B137" s="211" t="s">
        <v>168</v>
      </c>
      <c r="C137" s="212">
        <v>0</v>
      </c>
      <c r="D137" s="213">
        <v>0</v>
      </c>
      <c r="E137" s="213">
        <v>0</v>
      </c>
      <c r="F137" s="214">
        <f>C137+D137+E137</f>
        <v>0</v>
      </c>
    </row>
    <row r="138" spans="1:6" ht="16.5" thickBot="1">
      <c r="A138" s="27"/>
      <c r="B138" s="211" t="s">
        <v>173</v>
      </c>
      <c r="C138" s="212">
        <f>C18+C19+C62</f>
        <v>0</v>
      </c>
      <c r="D138" s="213">
        <f>D18+D19+D62</f>
        <v>340</v>
      </c>
      <c r="E138" s="213">
        <f>E18+E19+E62</f>
        <v>0</v>
      </c>
      <c r="F138" s="214">
        <f>F18+F19+F62</f>
        <v>340</v>
      </c>
    </row>
    <row r="139" spans="1:6" ht="33" customHeight="1" thickBot="1" thickTop="1">
      <c r="A139" s="731" t="s">
        <v>520</v>
      </c>
      <c r="B139" s="732"/>
      <c r="C139" s="732"/>
      <c r="D139" s="732"/>
      <c r="E139" s="732"/>
      <c r="F139" s="732"/>
    </row>
    <row r="140" spans="1:6" ht="79.5" thickTop="1">
      <c r="A140" s="33"/>
      <c r="B140" s="208" t="s">
        <v>184</v>
      </c>
      <c r="C140" s="612">
        <v>458</v>
      </c>
      <c r="D140" s="209">
        <v>0</v>
      </c>
      <c r="E140" s="210">
        <v>0</v>
      </c>
      <c r="F140" s="598">
        <f>C140+D140+E140</f>
        <v>458</v>
      </c>
    </row>
    <row r="141" spans="1:6" ht="15.75">
      <c r="A141" s="218"/>
      <c r="B141" s="211" t="s">
        <v>182</v>
      </c>
      <c r="C141" s="390">
        <v>66</v>
      </c>
      <c r="D141" s="213">
        <v>0</v>
      </c>
      <c r="E141" s="213">
        <v>0</v>
      </c>
      <c r="F141" s="214">
        <f aca="true" t="shared" si="3" ref="F141:F146">C141+D141+E141</f>
        <v>66</v>
      </c>
    </row>
    <row r="142" spans="1:6" ht="31.5">
      <c r="A142" s="53"/>
      <c r="B142" s="211" t="s">
        <v>168</v>
      </c>
      <c r="C142" s="390">
        <v>28</v>
      </c>
      <c r="D142" s="213">
        <v>0</v>
      </c>
      <c r="E142" s="213">
        <v>0</v>
      </c>
      <c r="F142" s="214">
        <f t="shared" si="3"/>
        <v>28</v>
      </c>
    </row>
    <row r="143" spans="1:6" ht="16.5" thickBot="1">
      <c r="A143" s="27"/>
      <c r="B143" s="211" t="s">
        <v>173</v>
      </c>
      <c r="C143" s="390">
        <v>10</v>
      </c>
      <c r="D143" s="213">
        <v>0</v>
      </c>
      <c r="E143" s="213">
        <v>0</v>
      </c>
      <c r="F143" s="214">
        <f t="shared" si="3"/>
        <v>10</v>
      </c>
    </row>
    <row r="144" spans="1:10" ht="58.5" customHeight="1" thickTop="1">
      <c r="A144" s="194"/>
      <c r="B144" s="215" t="s">
        <v>183</v>
      </c>
      <c r="C144" s="196">
        <f>C140+C135+C121</f>
        <v>5761</v>
      </c>
      <c r="D144" s="197">
        <f>D140+D135+D121</f>
        <v>3511</v>
      </c>
      <c r="E144" s="197">
        <f>E140+E135+E121</f>
        <v>206</v>
      </c>
      <c r="F144" s="216">
        <f>C144+D144+E144</f>
        <v>9478</v>
      </c>
      <c r="G144" s="198">
        <f>9128+350</f>
        <v>9478</v>
      </c>
      <c r="H144" s="198">
        <f>G144-F144</f>
        <v>0</v>
      </c>
      <c r="I144" s="130">
        <f>F34+F46+F54+F63+F71+F125+F128+F131+F140</f>
        <v>9448</v>
      </c>
      <c r="J144" s="130"/>
    </row>
    <row r="145" spans="1:10" ht="18" customHeight="1">
      <c r="A145" s="218"/>
      <c r="B145" s="211" t="s">
        <v>182</v>
      </c>
      <c r="C145" s="212">
        <f>C141+C136</f>
        <v>89</v>
      </c>
      <c r="D145" s="213">
        <f>D141+D136</f>
        <v>0</v>
      </c>
      <c r="E145" s="213">
        <f>E141+E136</f>
        <v>0</v>
      </c>
      <c r="F145" s="214">
        <f t="shared" si="3"/>
        <v>89</v>
      </c>
      <c r="G145" s="198">
        <v>89</v>
      </c>
      <c r="H145" s="198">
        <f>G145-F145</f>
        <v>0</v>
      </c>
      <c r="I145" s="130"/>
      <c r="J145" s="130"/>
    </row>
    <row r="146" spans="1:10" s="153" customFormat="1" ht="31.5">
      <c r="A146" s="53"/>
      <c r="B146" s="211" t="s">
        <v>168</v>
      </c>
      <c r="C146" s="212">
        <f>C137+C122+C142</f>
        <v>1403</v>
      </c>
      <c r="D146" s="213">
        <f>D137+D122+D142</f>
        <v>10</v>
      </c>
      <c r="E146" s="213">
        <f>E137+E122+E142</f>
        <v>0</v>
      </c>
      <c r="F146" s="214">
        <f t="shared" si="3"/>
        <v>1413</v>
      </c>
      <c r="G146" s="198">
        <v>1413</v>
      </c>
      <c r="H146" s="198">
        <f>G146-F146</f>
        <v>0</v>
      </c>
      <c r="J146" s="130"/>
    </row>
    <row r="147" spans="1:8" ht="15.75">
      <c r="A147" s="27"/>
      <c r="B147" s="211" t="s">
        <v>173</v>
      </c>
      <c r="C147" s="212">
        <f>C143+C138</f>
        <v>10</v>
      </c>
      <c r="D147" s="213">
        <f>D143+D138</f>
        <v>340</v>
      </c>
      <c r="E147" s="213">
        <f>E143+E138</f>
        <v>0</v>
      </c>
      <c r="F147" s="214">
        <f>F143+F138</f>
        <v>350</v>
      </c>
      <c r="G147" s="198">
        <v>350</v>
      </c>
      <c r="H147" s="198">
        <f>G147-F147</f>
        <v>0</v>
      </c>
    </row>
    <row r="148" spans="1:7" s="153" customFormat="1" ht="15.75">
      <c r="A148" s="64"/>
      <c r="B148" s="9" t="s">
        <v>61</v>
      </c>
      <c r="C148" s="167">
        <v>0</v>
      </c>
      <c r="D148" s="167">
        <v>0</v>
      </c>
      <c r="E148" s="167">
        <v>0</v>
      </c>
      <c r="F148" s="167">
        <v>0</v>
      </c>
      <c r="G148" s="64"/>
    </row>
    <row r="149" spans="1:8" ht="15.75">
      <c r="A149" s="66"/>
      <c r="B149" s="9" t="s">
        <v>228</v>
      </c>
      <c r="C149" s="167">
        <f>C10+C11+C48+C50+C124+C65+C127</f>
        <v>1243</v>
      </c>
      <c r="D149" s="167">
        <f>D10+D11+D48+D50+D124+D65+D127</f>
        <v>80</v>
      </c>
      <c r="E149" s="167">
        <f>E10+E11+E48+E50+E124+E65+E127</f>
        <v>0</v>
      </c>
      <c r="F149" s="167">
        <f>F10+F11+F48+F50+F124+F65+F127</f>
        <v>1323</v>
      </c>
      <c r="G149" s="64"/>
      <c r="H149" s="285">
        <f>SUM(C149:E149)-F149</f>
        <v>0</v>
      </c>
    </row>
    <row r="150" spans="1:8" ht="15.75">
      <c r="A150" s="66"/>
      <c r="B150" s="9" t="s">
        <v>15</v>
      </c>
      <c r="C150" s="167">
        <f>0</f>
        <v>0</v>
      </c>
      <c r="D150" s="167">
        <f>0</f>
        <v>0</v>
      </c>
      <c r="E150" s="167">
        <f>0</f>
        <v>0</v>
      </c>
      <c r="F150" s="167">
        <f>0</f>
        <v>0</v>
      </c>
      <c r="G150" s="64"/>
      <c r="H150" s="285">
        <f aca="true" t="shared" si="4" ref="H150:H175">SUM(C150:E150)-F150</f>
        <v>0</v>
      </c>
    </row>
    <row r="151" spans="1:8" ht="15.75">
      <c r="A151" s="66"/>
      <c r="B151" s="9" t="s">
        <v>16</v>
      </c>
      <c r="C151" s="167">
        <f>C12</f>
        <v>59</v>
      </c>
      <c r="D151" s="167">
        <f>D12</f>
        <v>0</v>
      </c>
      <c r="E151" s="167">
        <f>E12</f>
        <v>0</v>
      </c>
      <c r="F151" s="167">
        <f>F12</f>
        <v>59</v>
      </c>
      <c r="G151" s="64"/>
      <c r="H151" s="285">
        <f t="shared" si="4"/>
        <v>0</v>
      </c>
    </row>
    <row r="152" spans="1:8" ht="15.75">
      <c r="A152" s="67"/>
      <c r="B152" s="9" t="s">
        <v>83</v>
      </c>
      <c r="C152" s="167">
        <f>0</f>
        <v>0</v>
      </c>
      <c r="D152" s="167">
        <f>0</f>
        <v>0</v>
      </c>
      <c r="E152" s="167">
        <f>0</f>
        <v>0</v>
      </c>
      <c r="F152" s="167">
        <f>0</f>
        <v>0</v>
      </c>
      <c r="H152" s="285">
        <f t="shared" si="4"/>
        <v>0</v>
      </c>
    </row>
    <row r="153" spans="1:8" ht="15.75">
      <c r="A153" s="66"/>
      <c r="B153" s="9" t="s">
        <v>49</v>
      </c>
      <c r="C153" s="167">
        <f>C14+C15</f>
        <v>201</v>
      </c>
      <c r="D153" s="167">
        <f>D14+D15</f>
        <v>0</v>
      </c>
      <c r="E153" s="167">
        <f>E14+E15</f>
        <v>0</v>
      </c>
      <c r="F153" s="167">
        <f>F14+F15</f>
        <v>201</v>
      </c>
      <c r="H153" s="285">
        <f t="shared" si="4"/>
        <v>0</v>
      </c>
    </row>
    <row r="154" spans="1:8" ht="15.75">
      <c r="A154" s="67"/>
      <c r="B154" s="9" t="s">
        <v>28</v>
      </c>
      <c r="C154" s="167">
        <f aca="true" t="shared" si="5" ref="C154:F155">C16</f>
        <v>40</v>
      </c>
      <c r="D154" s="167">
        <f t="shared" si="5"/>
        <v>0</v>
      </c>
      <c r="E154" s="167">
        <f t="shared" si="5"/>
        <v>0</v>
      </c>
      <c r="F154" s="167">
        <f t="shared" si="5"/>
        <v>40</v>
      </c>
      <c r="H154" s="285">
        <f t="shared" si="4"/>
        <v>0</v>
      </c>
    </row>
    <row r="155" spans="1:8" ht="15.75">
      <c r="A155" s="154"/>
      <c r="B155" s="9" t="s">
        <v>17</v>
      </c>
      <c r="C155" s="167">
        <f t="shared" si="5"/>
        <v>70</v>
      </c>
      <c r="D155" s="167">
        <f t="shared" si="5"/>
        <v>0</v>
      </c>
      <c r="E155" s="167">
        <f t="shared" si="5"/>
        <v>0</v>
      </c>
      <c r="F155" s="167">
        <f t="shared" si="5"/>
        <v>70</v>
      </c>
      <c r="H155" s="285">
        <f t="shared" si="4"/>
        <v>0</v>
      </c>
    </row>
    <row r="156" spans="1:8" ht="15.75">
      <c r="A156" s="154"/>
      <c r="B156" s="9" t="s">
        <v>62</v>
      </c>
      <c r="C156" s="167">
        <f>C70</f>
        <v>50</v>
      </c>
      <c r="D156" s="167">
        <f>D70</f>
        <v>0</v>
      </c>
      <c r="E156" s="167">
        <f>E70</f>
        <v>0</v>
      </c>
      <c r="F156" s="167">
        <f>F70</f>
        <v>50</v>
      </c>
      <c r="H156" s="285">
        <f t="shared" si="4"/>
        <v>0</v>
      </c>
    </row>
    <row r="157" spans="1:8" ht="15.75">
      <c r="A157" s="154"/>
      <c r="B157" s="9" t="s">
        <v>70</v>
      </c>
      <c r="C157" s="167">
        <f>C18+C19+C62</f>
        <v>0</v>
      </c>
      <c r="D157" s="167">
        <f>D18+D19+D62</f>
        <v>340</v>
      </c>
      <c r="E157" s="167">
        <f>E18+E19+E62</f>
        <v>0</v>
      </c>
      <c r="F157" s="167">
        <f>F18+F19+F62</f>
        <v>340</v>
      </c>
      <c r="H157" s="285">
        <f t="shared" si="4"/>
        <v>0</v>
      </c>
    </row>
    <row r="158" spans="1:8" ht="15.75">
      <c r="A158" s="154"/>
      <c r="B158" s="9" t="s">
        <v>26</v>
      </c>
      <c r="C158" s="167">
        <f>C20+C43+C51</f>
        <v>264</v>
      </c>
      <c r="D158" s="167">
        <f>D20+D43+D51</f>
        <v>0</v>
      </c>
      <c r="E158" s="167">
        <f>E20+E43+E51</f>
        <v>0</v>
      </c>
      <c r="F158" s="167">
        <f>F20+F43+F51</f>
        <v>264</v>
      </c>
      <c r="H158" s="285">
        <f t="shared" si="4"/>
        <v>0</v>
      </c>
    </row>
    <row r="159" spans="1:8" ht="15.75">
      <c r="A159" s="154"/>
      <c r="B159" s="9" t="s">
        <v>37</v>
      </c>
      <c r="C159" s="167">
        <f>0</f>
        <v>0</v>
      </c>
      <c r="D159" s="167">
        <f>0</f>
        <v>0</v>
      </c>
      <c r="E159" s="167">
        <f>0</f>
        <v>0</v>
      </c>
      <c r="F159" s="167">
        <f>0</f>
        <v>0</v>
      </c>
      <c r="H159" s="285">
        <f t="shared" si="4"/>
        <v>0</v>
      </c>
    </row>
    <row r="160" spans="1:8" ht="15.75">
      <c r="A160" s="154"/>
      <c r="B160" s="9" t="s">
        <v>18</v>
      </c>
      <c r="C160" s="167">
        <f>C21</f>
        <v>143</v>
      </c>
      <c r="D160" s="167">
        <f>D21</f>
        <v>0</v>
      </c>
      <c r="E160" s="167">
        <f>E21</f>
        <v>0</v>
      </c>
      <c r="F160" s="167">
        <f>F21</f>
        <v>143</v>
      </c>
      <c r="H160" s="285">
        <f t="shared" si="4"/>
        <v>0</v>
      </c>
    </row>
    <row r="161" spans="1:8" ht="15.75">
      <c r="A161" s="154"/>
      <c r="B161" s="9" t="s">
        <v>65</v>
      </c>
      <c r="C161" s="167">
        <v>0</v>
      </c>
      <c r="D161" s="167">
        <v>0</v>
      </c>
      <c r="E161" s="167">
        <v>0</v>
      </c>
      <c r="F161" s="167">
        <v>0</v>
      </c>
      <c r="H161" s="285">
        <f t="shared" si="4"/>
        <v>0</v>
      </c>
    </row>
    <row r="162" spans="1:8" ht="15.75">
      <c r="A162" s="154"/>
      <c r="B162" s="9" t="s">
        <v>229</v>
      </c>
      <c r="C162" s="167">
        <f>C22+C23+C24</f>
        <v>1368</v>
      </c>
      <c r="D162" s="167">
        <f>D22+D23+D24</f>
        <v>10</v>
      </c>
      <c r="E162" s="167">
        <f>E22+E23+E24</f>
        <v>0</v>
      </c>
      <c r="F162" s="167">
        <f>F22+F23+F24</f>
        <v>1378</v>
      </c>
      <c r="H162" s="285">
        <f t="shared" si="4"/>
        <v>0</v>
      </c>
    </row>
    <row r="163" spans="1:8" ht="15.75">
      <c r="A163" s="154"/>
      <c r="B163" s="9" t="s">
        <v>347</v>
      </c>
      <c r="C163" s="167">
        <f>C25+C69+C133</f>
        <v>210</v>
      </c>
      <c r="D163" s="167">
        <f>D25+D69+D133</f>
        <v>0</v>
      </c>
      <c r="E163" s="167">
        <f>E25+E69+E133</f>
        <v>0</v>
      </c>
      <c r="F163" s="167">
        <f>F25+F69+F133</f>
        <v>210</v>
      </c>
      <c r="H163" s="285">
        <f t="shared" si="4"/>
        <v>0</v>
      </c>
    </row>
    <row r="164" spans="1:8" ht="15.75">
      <c r="A164" s="154"/>
      <c r="B164" s="9" t="s">
        <v>19</v>
      </c>
      <c r="C164" s="167">
        <f>C26+C130</f>
        <v>126</v>
      </c>
      <c r="D164" s="167">
        <f>D26+D130</f>
        <v>0</v>
      </c>
      <c r="E164" s="167">
        <f>E26+E130</f>
        <v>0</v>
      </c>
      <c r="F164" s="167">
        <f>F26+F130</f>
        <v>126</v>
      </c>
      <c r="H164" s="285">
        <f t="shared" si="4"/>
        <v>0</v>
      </c>
    </row>
    <row r="165" spans="1:8" ht="15.75">
      <c r="A165" s="155"/>
      <c r="B165" s="9" t="s">
        <v>24</v>
      </c>
      <c r="C165" s="167">
        <f>C27+C44+C52</f>
        <v>311</v>
      </c>
      <c r="D165" s="167">
        <f>D27+D44+D52</f>
        <v>30</v>
      </c>
      <c r="E165" s="167">
        <f>E27+E44+E52</f>
        <v>76</v>
      </c>
      <c r="F165" s="167">
        <f>F27+F44+F52</f>
        <v>417</v>
      </c>
      <c r="H165" s="285">
        <f t="shared" si="4"/>
        <v>0</v>
      </c>
    </row>
    <row r="166" spans="1:8" ht="15.75">
      <c r="A166" s="155"/>
      <c r="B166" s="9" t="s">
        <v>20</v>
      </c>
      <c r="C166" s="167">
        <v>0</v>
      </c>
      <c r="D166" s="167">
        <v>0</v>
      </c>
      <c r="E166" s="167">
        <v>0</v>
      </c>
      <c r="F166" s="167">
        <v>0</v>
      </c>
      <c r="H166" s="285">
        <f t="shared" si="4"/>
        <v>0</v>
      </c>
    </row>
    <row r="167" spans="1:8" ht="15.75">
      <c r="A167" s="155"/>
      <c r="B167" s="9" t="s">
        <v>51</v>
      </c>
      <c r="C167" s="167">
        <f aca="true" t="shared" si="6" ref="C167:F168">C28</f>
        <v>50</v>
      </c>
      <c r="D167" s="167">
        <f t="shared" si="6"/>
        <v>0</v>
      </c>
      <c r="E167" s="167">
        <f t="shared" si="6"/>
        <v>0</v>
      </c>
      <c r="F167" s="167">
        <f t="shared" si="6"/>
        <v>50</v>
      </c>
      <c r="H167" s="285">
        <f t="shared" si="4"/>
        <v>0</v>
      </c>
    </row>
    <row r="168" spans="1:8" ht="15.75">
      <c r="A168" s="155"/>
      <c r="B168" s="9" t="s">
        <v>27</v>
      </c>
      <c r="C168" s="167">
        <f t="shared" si="6"/>
        <v>48</v>
      </c>
      <c r="D168" s="167">
        <f t="shared" si="6"/>
        <v>0</v>
      </c>
      <c r="E168" s="167">
        <f t="shared" si="6"/>
        <v>0</v>
      </c>
      <c r="F168" s="167">
        <f t="shared" si="6"/>
        <v>48</v>
      </c>
      <c r="H168" s="285">
        <f t="shared" si="4"/>
        <v>0</v>
      </c>
    </row>
    <row r="169" spans="1:8" ht="15.75">
      <c r="A169" s="155"/>
      <c r="B169" s="9" t="s">
        <v>21</v>
      </c>
      <c r="C169" s="167">
        <f>C30+C59</f>
        <v>434</v>
      </c>
      <c r="D169" s="167">
        <f>D30+D59</f>
        <v>2851</v>
      </c>
      <c r="E169" s="167">
        <f>E30+E59</f>
        <v>130</v>
      </c>
      <c r="F169" s="167">
        <f>F30+F59</f>
        <v>3415</v>
      </c>
      <c r="H169" s="285">
        <f t="shared" si="4"/>
        <v>0</v>
      </c>
    </row>
    <row r="170" spans="1:8" ht="15.75">
      <c r="A170" s="155"/>
      <c r="B170" s="9" t="s">
        <v>66</v>
      </c>
      <c r="C170" s="167">
        <f>C31</f>
        <v>109</v>
      </c>
      <c r="D170" s="167">
        <f>D31</f>
        <v>0</v>
      </c>
      <c r="E170" s="167">
        <f>E31</f>
        <v>0</v>
      </c>
      <c r="F170" s="167">
        <f>F31</f>
        <v>109</v>
      </c>
      <c r="H170" s="285">
        <f t="shared" si="4"/>
        <v>0</v>
      </c>
    </row>
    <row r="171" spans="1:8" ht="15.75">
      <c r="A171" s="155"/>
      <c r="B171" s="9" t="s">
        <v>48</v>
      </c>
      <c r="C171" s="167">
        <f>C32+C68+C67</f>
        <v>140</v>
      </c>
      <c r="D171" s="167">
        <f>D32+D68+D67</f>
        <v>0</v>
      </c>
      <c r="E171" s="167">
        <f>E32+E68+E67</f>
        <v>0</v>
      </c>
      <c r="F171" s="167">
        <f>F32+F68+F67</f>
        <v>140</v>
      </c>
      <c r="H171" s="285">
        <f t="shared" si="4"/>
        <v>0</v>
      </c>
    </row>
    <row r="172" spans="1:8" ht="15.75">
      <c r="A172" s="155"/>
      <c r="B172" s="9" t="s">
        <v>29</v>
      </c>
      <c r="C172" s="167">
        <f>C33+C60+C66</f>
        <v>412</v>
      </c>
      <c r="D172" s="167">
        <f>D33+D60+D66</f>
        <v>170</v>
      </c>
      <c r="E172" s="167">
        <f>E33+E60+E66</f>
        <v>0</v>
      </c>
      <c r="F172" s="167">
        <f>F33+F60+F66</f>
        <v>582</v>
      </c>
      <c r="H172" s="285">
        <f t="shared" si="4"/>
        <v>0</v>
      </c>
    </row>
    <row r="173" spans="1:8" ht="15.75">
      <c r="A173" s="155"/>
      <c r="B173" s="9" t="s">
        <v>67</v>
      </c>
      <c r="C173" s="167">
        <v>0</v>
      </c>
      <c r="D173" s="167">
        <v>0</v>
      </c>
      <c r="E173" s="167">
        <v>0</v>
      </c>
      <c r="F173" s="167">
        <v>0</v>
      </c>
      <c r="H173" s="285">
        <f t="shared" si="4"/>
        <v>0</v>
      </c>
    </row>
    <row r="174" spans="1:8" ht="15.75">
      <c r="A174" s="155"/>
      <c r="B174" s="9" t="s">
        <v>39</v>
      </c>
      <c r="C174" s="167">
        <v>0</v>
      </c>
      <c r="D174" s="167">
        <v>0</v>
      </c>
      <c r="E174" s="167">
        <v>0</v>
      </c>
      <c r="F174" s="167">
        <v>0</v>
      </c>
      <c r="H174" s="285">
        <f t="shared" si="4"/>
        <v>0</v>
      </c>
    </row>
    <row r="175" spans="1:8" ht="15.75">
      <c r="A175" s="155"/>
      <c r="B175" s="9" t="s">
        <v>22</v>
      </c>
      <c r="C175" s="167">
        <f>C61+C45+C53</f>
        <v>25</v>
      </c>
      <c r="D175" s="167">
        <f>D61+D45+D53</f>
        <v>30</v>
      </c>
      <c r="E175" s="167">
        <f>E61+E45+E53</f>
        <v>0</v>
      </c>
      <c r="F175" s="167">
        <f>F61+F45+F53</f>
        <v>55</v>
      </c>
      <c r="H175" s="285">
        <f t="shared" si="4"/>
        <v>0</v>
      </c>
    </row>
    <row r="176" spans="1:8" ht="31.5">
      <c r="A176" s="155"/>
      <c r="B176" s="111" t="s">
        <v>230</v>
      </c>
      <c r="C176" s="201">
        <f>SUM(C148:C175)</f>
        <v>5303</v>
      </c>
      <c r="D176" s="201">
        <f>SUM(D148:D175)</f>
        <v>3511</v>
      </c>
      <c r="E176" s="201">
        <f>SUM(E148:E175)</f>
        <v>206</v>
      </c>
      <c r="F176" s="201">
        <f>SUM(F148:F175)</f>
        <v>9020</v>
      </c>
      <c r="G176" s="282"/>
      <c r="H176" s="282"/>
    </row>
    <row r="177" spans="1:8" ht="15.75">
      <c r="A177" s="155"/>
      <c r="B177" s="155"/>
      <c r="C177" s="395">
        <f>C144-C140</f>
        <v>5303</v>
      </c>
      <c r="D177" s="395">
        <f>D144-D140</f>
        <v>3511</v>
      </c>
      <c r="E177" s="395">
        <f>E144-E140</f>
        <v>206</v>
      </c>
      <c r="F177" s="395">
        <f>F144-F140</f>
        <v>9020</v>
      </c>
      <c r="G177" s="419">
        <f>F144-F140</f>
        <v>9020</v>
      </c>
      <c r="H177" s="419">
        <f>G177-F177</f>
        <v>0</v>
      </c>
    </row>
    <row r="178" spans="1:6" ht="15">
      <c r="A178" s="155"/>
      <c r="B178" s="155"/>
      <c r="C178" s="395">
        <f>C177-C176</f>
        <v>0</v>
      </c>
      <c r="D178" s="395">
        <f>D177-D176</f>
        <v>0</v>
      </c>
      <c r="E178" s="395">
        <f>E177-E176</f>
        <v>0</v>
      </c>
      <c r="F178" s="395">
        <f>F177-F176</f>
        <v>0</v>
      </c>
    </row>
    <row r="179" spans="1:6" ht="15.75">
      <c r="A179" s="155"/>
      <c r="B179" s="155"/>
      <c r="C179" s="155"/>
      <c r="D179" s="155"/>
      <c r="E179" s="155"/>
      <c r="F179" s="199"/>
    </row>
    <row r="180" spans="1:6" ht="15.75">
      <c r="A180" s="155"/>
      <c r="B180" s="155"/>
      <c r="C180" s="155"/>
      <c r="D180" s="155"/>
      <c r="E180" s="155"/>
      <c r="F180" s="199"/>
    </row>
    <row r="181" spans="1:6" ht="15.75">
      <c r="A181" s="155"/>
      <c r="B181" s="155"/>
      <c r="C181" s="155"/>
      <c r="D181" s="155"/>
      <c r="E181" s="155"/>
      <c r="F181" s="199"/>
    </row>
    <row r="182" spans="1:6" ht="15.75">
      <c r="A182" s="155"/>
      <c r="B182" s="155"/>
      <c r="C182" s="155"/>
      <c r="D182" s="155"/>
      <c r="E182" s="155"/>
      <c r="F182" s="199"/>
    </row>
    <row r="183" spans="1:6" ht="15.75">
      <c r="A183" s="155"/>
      <c r="B183" s="155"/>
      <c r="C183" s="155"/>
      <c r="D183" s="155"/>
      <c r="E183" s="155"/>
      <c r="F183" s="199"/>
    </row>
    <row r="184" spans="1:6" ht="15.75">
      <c r="A184" s="155"/>
      <c r="B184" s="155"/>
      <c r="C184" s="155"/>
      <c r="D184" s="155"/>
      <c r="E184" s="155"/>
      <c r="F184" s="199"/>
    </row>
    <row r="185" spans="1:6" ht="15.75">
      <c r="A185" s="155"/>
      <c r="B185" s="155"/>
      <c r="C185" s="155"/>
      <c r="D185" s="155"/>
      <c r="E185" s="155"/>
      <c r="F185" s="199"/>
    </row>
    <row r="186" spans="1:6" ht="15.75">
      <c r="A186" s="155"/>
      <c r="B186" s="155"/>
      <c r="C186" s="155"/>
      <c r="D186" s="155"/>
      <c r="E186" s="155"/>
      <c r="F186" s="199"/>
    </row>
    <row r="187" spans="1:6" ht="15.75">
      <c r="A187" s="155"/>
      <c r="B187" s="155"/>
      <c r="C187" s="155"/>
      <c r="D187" s="155"/>
      <c r="E187" s="155"/>
      <c r="F187" s="199"/>
    </row>
    <row r="188" spans="1:6" ht="15.75">
      <c r="A188" s="155"/>
      <c r="B188" s="155"/>
      <c r="C188" s="155"/>
      <c r="D188" s="155"/>
      <c r="E188" s="155"/>
      <c r="F188" s="199"/>
    </row>
    <row r="189" spans="1:6" ht="15.75">
      <c r="A189" s="155"/>
      <c r="B189" s="155"/>
      <c r="C189" s="155"/>
      <c r="D189" s="155"/>
      <c r="E189" s="155"/>
      <c r="F189" s="199"/>
    </row>
    <row r="190" spans="1:6" ht="15.75">
      <c r="A190" s="155"/>
      <c r="B190" s="155"/>
      <c r="C190" s="155"/>
      <c r="D190" s="155"/>
      <c r="E190" s="155"/>
      <c r="F190" s="199"/>
    </row>
    <row r="191" spans="1:6" ht="15.75">
      <c r="A191" s="155"/>
      <c r="B191" s="155"/>
      <c r="C191" s="155"/>
      <c r="D191" s="155"/>
      <c r="E191" s="155"/>
      <c r="F191" s="199"/>
    </row>
    <row r="192" spans="1:6" ht="15.75">
      <c r="A192" s="155"/>
      <c r="B192" s="155"/>
      <c r="C192" s="155"/>
      <c r="D192" s="155"/>
      <c r="E192" s="155"/>
      <c r="F192" s="199"/>
    </row>
    <row r="193" spans="1:6" ht="15.75">
      <c r="A193" s="155"/>
      <c r="B193" s="155"/>
      <c r="C193" s="155"/>
      <c r="D193" s="155"/>
      <c r="E193" s="155"/>
      <c r="F193" s="199"/>
    </row>
    <row r="194" spans="1:6" ht="15.75">
      <c r="A194" s="155"/>
      <c r="B194" s="155"/>
      <c r="C194" s="155"/>
      <c r="D194" s="155"/>
      <c r="E194" s="155"/>
      <c r="F194" s="199"/>
    </row>
    <row r="195" spans="1:6" ht="15.75">
      <c r="A195" s="155"/>
      <c r="B195" s="155"/>
      <c r="C195" s="155"/>
      <c r="D195" s="155"/>
      <c r="E195" s="155"/>
      <c r="F195" s="199"/>
    </row>
    <row r="196" spans="1:6" ht="15.75">
      <c r="A196" s="155"/>
      <c r="B196" s="155"/>
      <c r="C196" s="155"/>
      <c r="D196" s="155"/>
      <c r="E196" s="155"/>
      <c r="F196" s="199"/>
    </row>
    <row r="197" spans="1:6" ht="15.75">
      <c r="A197" s="155"/>
      <c r="B197" s="155"/>
      <c r="C197" s="155"/>
      <c r="D197" s="155"/>
      <c r="E197" s="155"/>
      <c r="F197" s="199"/>
    </row>
    <row r="198" spans="1:6" ht="15.75">
      <c r="A198" s="155"/>
      <c r="B198" s="155"/>
      <c r="C198" s="155"/>
      <c r="D198" s="155"/>
      <c r="E198" s="155"/>
      <c r="F198" s="199"/>
    </row>
    <row r="199" spans="1:6" ht="15.75">
      <c r="A199" s="155"/>
      <c r="B199" s="155"/>
      <c r="C199" s="155"/>
      <c r="D199" s="155"/>
      <c r="E199" s="155"/>
      <c r="F199" s="199"/>
    </row>
    <row r="200" spans="1:6" ht="15.75">
      <c r="A200" s="155"/>
      <c r="B200" s="155"/>
      <c r="C200" s="155"/>
      <c r="D200" s="155"/>
      <c r="E200" s="155"/>
      <c r="F200" s="199"/>
    </row>
    <row r="201" spans="1:6" ht="15.75">
      <c r="A201" s="155"/>
      <c r="B201" s="155"/>
      <c r="C201" s="155"/>
      <c r="D201" s="155"/>
      <c r="E201" s="155"/>
      <c r="F201" s="199"/>
    </row>
    <row r="202" spans="1:6" ht="15.75">
      <c r="A202" s="155"/>
      <c r="B202" s="155"/>
      <c r="C202" s="155"/>
      <c r="D202" s="155"/>
      <c r="E202" s="155"/>
      <c r="F202" s="199"/>
    </row>
    <row r="203" spans="1:6" ht="15.75">
      <c r="A203" s="155"/>
      <c r="B203" s="155"/>
      <c r="C203" s="155"/>
      <c r="D203" s="155"/>
      <c r="E203" s="155"/>
      <c r="F203" s="199"/>
    </row>
    <row r="204" spans="1:6" ht="15.75">
      <c r="A204" s="155"/>
      <c r="B204" s="155"/>
      <c r="C204" s="155"/>
      <c r="D204" s="155"/>
      <c r="E204" s="155"/>
      <c r="F204" s="199"/>
    </row>
    <row r="205" spans="1:6" ht="15.75">
      <c r="A205" s="155"/>
      <c r="B205" s="155"/>
      <c r="C205" s="155"/>
      <c r="D205" s="155"/>
      <c r="E205" s="155"/>
      <c r="F205" s="199"/>
    </row>
    <row r="206" spans="1:6" ht="15.75">
      <c r="A206" s="155"/>
      <c r="B206" s="155"/>
      <c r="C206" s="155"/>
      <c r="D206" s="155"/>
      <c r="E206" s="155"/>
      <c r="F206" s="199"/>
    </row>
    <row r="207" spans="1:6" ht="15.75">
      <c r="A207" s="155"/>
      <c r="B207" s="155"/>
      <c r="C207" s="155"/>
      <c r="D207" s="155"/>
      <c r="E207" s="155"/>
      <c r="F207" s="199"/>
    </row>
    <row r="208" spans="1:6" ht="15.75">
      <c r="A208" s="155"/>
      <c r="B208" s="155"/>
      <c r="C208" s="155"/>
      <c r="D208" s="155"/>
      <c r="E208" s="155"/>
      <c r="F208" s="199"/>
    </row>
    <row r="209" spans="1:6" ht="15.75">
      <c r="A209" s="155"/>
      <c r="B209" s="155"/>
      <c r="C209" s="155"/>
      <c r="D209" s="155"/>
      <c r="E209" s="155"/>
      <c r="F209" s="199"/>
    </row>
    <row r="210" spans="1:6" ht="15.75">
      <c r="A210" s="155"/>
      <c r="B210" s="155"/>
      <c r="C210" s="155"/>
      <c r="D210" s="155"/>
      <c r="E210" s="155"/>
      <c r="F210" s="199"/>
    </row>
    <row r="211" spans="1:6" ht="15.75">
      <c r="A211" s="155"/>
      <c r="B211" s="155"/>
      <c r="C211" s="155"/>
      <c r="D211" s="155"/>
      <c r="E211" s="155"/>
      <c r="F211" s="199"/>
    </row>
  </sheetData>
  <sheetProtection/>
  <autoFilter ref="A8:Q155"/>
  <mergeCells count="25"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  <mergeCell ref="A100:F100"/>
    <mergeCell ref="A107:F107"/>
    <mergeCell ref="A123:F123"/>
    <mergeCell ref="A132:F132"/>
    <mergeCell ref="A126:F126"/>
    <mergeCell ref="A64:F64"/>
    <mergeCell ref="A9:F9"/>
    <mergeCell ref="A3:F3"/>
    <mergeCell ref="A5:F5"/>
    <mergeCell ref="A7:A8"/>
    <mergeCell ref="B7:B8"/>
    <mergeCell ref="F7:F8"/>
    <mergeCell ref="C7:E7"/>
    <mergeCell ref="A36:F36"/>
    <mergeCell ref="A42:F42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H10" sqref="H10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392"/>
      <c r="C1" s="392" t="s">
        <v>288</v>
      </c>
    </row>
    <row r="3" spans="2:3" ht="63" customHeight="1">
      <c r="B3" s="752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752"/>
    </row>
    <row r="4" spans="2:6" ht="15" customHeight="1">
      <c r="B4" s="753" t="s">
        <v>111</v>
      </c>
      <c r="C4" s="753"/>
      <c r="D4" s="4"/>
      <c r="E4" s="4"/>
      <c r="F4" s="5"/>
    </row>
    <row r="5" spans="1:6" ht="15" customHeight="1">
      <c r="A5" s="69"/>
      <c r="B5" s="69"/>
      <c r="C5" s="69"/>
      <c r="D5" s="4"/>
      <c r="E5" s="4"/>
      <c r="F5" s="5"/>
    </row>
    <row r="6" spans="1:6" ht="34.5" customHeight="1">
      <c r="A6" s="116" t="s">
        <v>74</v>
      </c>
      <c r="B6" s="117" t="s">
        <v>112</v>
      </c>
      <c r="C6" s="116" t="s">
        <v>185</v>
      </c>
      <c r="D6" s="5"/>
      <c r="E6" s="5"/>
      <c r="F6" s="5"/>
    </row>
    <row r="7" spans="1:3" ht="15" customHeight="1">
      <c r="A7" s="119">
        <v>1</v>
      </c>
      <c r="B7" s="117">
        <v>2</v>
      </c>
      <c r="C7" s="119">
        <v>3</v>
      </c>
    </row>
    <row r="8" spans="1:3" ht="20.25" customHeight="1">
      <c r="A8" s="483" t="s">
        <v>440</v>
      </c>
      <c r="B8" s="7" t="s">
        <v>223</v>
      </c>
      <c r="C8" s="613">
        <v>10894</v>
      </c>
    </row>
    <row r="9" spans="1:3" ht="21" customHeight="1">
      <c r="A9" s="484" t="s">
        <v>441</v>
      </c>
      <c r="B9" s="361" t="s">
        <v>438</v>
      </c>
      <c r="C9" s="348">
        <f>26000+250</f>
        <v>26250</v>
      </c>
    </row>
    <row r="10" spans="1:3" s="482" customFormat="1" ht="21" customHeight="1">
      <c r="A10" s="485"/>
      <c r="B10" s="481" t="s">
        <v>439</v>
      </c>
      <c r="C10" s="614">
        <v>12</v>
      </c>
    </row>
    <row r="11" spans="1:4" ht="49.5" customHeight="1">
      <c r="A11" s="486" t="s">
        <v>442</v>
      </c>
      <c r="B11" s="265" t="s">
        <v>174</v>
      </c>
      <c r="C11" s="615">
        <f>2111-250</f>
        <v>1861</v>
      </c>
      <c r="D11" s="11"/>
    </row>
    <row r="12" spans="1:6" ht="30.75" customHeight="1">
      <c r="A12" s="487"/>
      <c r="B12" s="89" t="s">
        <v>47</v>
      </c>
      <c r="C12" s="90">
        <f>C11+C9+C8</f>
        <v>39005</v>
      </c>
      <c r="D12" s="12"/>
      <c r="E12" s="70"/>
      <c r="F12" s="70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0" sqref="M10"/>
    </sheetView>
  </sheetViews>
  <sheetFormatPr defaultColWidth="9.140625" defaultRowHeight="12.75"/>
  <cols>
    <col min="1" max="1" width="7.421875" style="221" customWidth="1"/>
    <col min="2" max="2" width="49.421875" style="221" customWidth="1"/>
    <col min="3" max="3" width="13.7109375" style="221" customWidth="1"/>
    <col min="4" max="4" width="11.7109375" style="221" customWidth="1"/>
    <col min="5" max="5" width="12.57421875" style="221" customWidth="1"/>
    <col min="6" max="6" width="9.140625" style="221" customWidth="1"/>
    <col min="7" max="7" width="11.421875" style="221" customWidth="1"/>
    <col min="8" max="8" width="13.421875" style="221" customWidth="1"/>
    <col min="9" max="9" width="13.00390625" style="221" customWidth="1"/>
    <col min="10" max="16384" width="9.140625" style="221" customWidth="1"/>
  </cols>
  <sheetData>
    <row r="1" spans="5:10" ht="15.75">
      <c r="E1" s="730"/>
      <c r="F1" s="730"/>
      <c r="I1" s="730" t="s">
        <v>393</v>
      </c>
      <c r="J1" s="730"/>
    </row>
    <row r="3" spans="1:10" ht="45.75" customHeight="1">
      <c r="A3" s="713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713"/>
      <c r="C3" s="713"/>
      <c r="D3" s="713"/>
      <c r="E3" s="713"/>
      <c r="F3" s="713"/>
      <c r="G3" s="713"/>
      <c r="H3" s="713"/>
      <c r="I3" s="713"/>
      <c r="J3" s="713"/>
    </row>
    <row r="4" spans="1:9" ht="19.5" customHeight="1">
      <c r="A4" s="86"/>
      <c r="B4" s="86"/>
      <c r="C4" s="86"/>
      <c r="D4" s="86"/>
      <c r="E4" s="86"/>
      <c r="G4" s="86"/>
      <c r="H4" s="86"/>
      <c r="I4" s="86"/>
    </row>
    <row r="5" spans="1:10" ht="15.75" customHeight="1">
      <c r="A5" s="729" t="s">
        <v>144</v>
      </c>
      <c r="B5" s="729"/>
      <c r="C5" s="729"/>
      <c r="D5" s="729"/>
      <c r="E5" s="729"/>
      <c r="F5" s="729"/>
      <c r="G5" s="729"/>
      <c r="H5" s="729"/>
      <c r="I5" s="729"/>
      <c r="J5" s="729"/>
    </row>
    <row r="7" spans="1:10" ht="29.25" customHeight="1">
      <c r="A7" s="764"/>
      <c r="B7" s="754" t="s">
        <v>105</v>
      </c>
      <c r="C7" s="757" t="s">
        <v>41</v>
      </c>
      <c r="D7" s="757"/>
      <c r="E7" s="757"/>
      <c r="F7" s="757"/>
      <c r="G7" s="758" t="s">
        <v>511</v>
      </c>
      <c r="H7" s="758"/>
      <c r="I7" s="758"/>
      <c r="J7" s="758"/>
    </row>
    <row r="8" spans="1:10" ht="17.25" customHeight="1">
      <c r="A8" s="765"/>
      <c r="B8" s="755"/>
      <c r="C8" s="759" t="s">
        <v>63</v>
      </c>
      <c r="D8" s="761" t="s">
        <v>206</v>
      </c>
      <c r="E8" s="762"/>
      <c r="F8" s="763"/>
      <c r="G8" s="759" t="s">
        <v>63</v>
      </c>
      <c r="H8" s="761" t="s">
        <v>206</v>
      </c>
      <c r="I8" s="762"/>
      <c r="J8" s="763"/>
    </row>
    <row r="9" spans="1:10" ht="21" customHeight="1">
      <c r="A9" s="766"/>
      <c r="B9" s="756"/>
      <c r="C9" s="760"/>
      <c r="D9" s="222" t="s">
        <v>210</v>
      </c>
      <c r="E9" s="222" t="s">
        <v>211</v>
      </c>
      <c r="F9" s="222" t="s">
        <v>212</v>
      </c>
      <c r="G9" s="760"/>
      <c r="H9" s="222" t="s">
        <v>210</v>
      </c>
      <c r="I9" s="222" t="s">
        <v>211</v>
      </c>
      <c r="J9" s="222" t="s">
        <v>212</v>
      </c>
    </row>
    <row r="10" spans="1:10" ht="15.75">
      <c r="A10" s="95">
        <v>1</v>
      </c>
      <c r="B10" s="223">
        <v>2</v>
      </c>
      <c r="C10" s="360">
        <v>4</v>
      </c>
      <c r="D10" s="283"/>
      <c r="E10" s="283">
        <v>5</v>
      </c>
      <c r="F10" s="283">
        <v>6</v>
      </c>
      <c r="G10" s="511">
        <v>4</v>
      </c>
      <c r="H10" s="511"/>
      <c r="I10" s="511">
        <v>5</v>
      </c>
      <c r="J10" s="511">
        <v>6</v>
      </c>
    </row>
    <row r="11" spans="1:15" s="225" customFormat="1" ht="15.75">
      <c r="A11" s="103"/>
      <c r="B11" s="224" t="s">
        <v>126</v>
      </c>
      <c r="C11" s="362">
        <f aca="true" t="shared" si="0" ref="C11:J11">SUM(C12:C23)</f>
        <v>4695</v>
      </c>
      <c r="D11" s="98">
        <f t="shared" si="0"/>
        <v>1995</v>
      </c>
      <c r="E11" s="98">
        <f t="shared" si="0"/>
        <v>1700</v>
      </c>
      <c r="F11" s="98">
        <f t="shared" si="0"/>
        <v>1000</v>
      </c>
      <c r="G11" s="362">
        <f t="shared" si="0"/>
        <v>5</v>
      </c>
      <c r="H11" s="98">
        <f t="shared" si="0"/>
        <v>5</v>
      </c>
      <c r="I11" s="98">
        <f t="shared" si="0"/>
        <v>0</v>
      </c>
      <c r="J11" s="98">
        <f t="shared" si="0"/>
        <v>0</v>
      </c>
      <c r="L11" s="512"/>
      <c r="M11" s="512"/>
      <c r="N11" s="512"/>
      <c r="O11" s="512"/>
    </row>
    <row r="12" spans="1:12" s="225" customFormat="1" ht="16.5" customHeight="1">
      <c r="A12" s="104">
        <v>1</v>
      </c>
      <c r="B12" s="114" t="s">
        <v>127</v>
      </c>
      <c r="C12" s="76">
        <f>SUM(D12:F12)</f>
        <v>0</v>
      </c>
      <c r="D12" s="478"/>
      <c r="E12" s="478"/>
      <c r="F12" s="478"/>
      <c r="G12" s="478">
        <f>SUM(H12:J12)</f>
        <v>2</v>
      </c>
      <c r="H12" s="478">
        <v>2</v>
      </c>
      <c r="I12" s="478"/>
      <c r="J12" s="76"/>
      <c r="L12" s="512"/>
    </row>
    <row r="13" spans="1:14" s="225" customFormat="1" ht="16.5" customHeight="1">
      <c r="A13" s="104">
        <v>2</v>
      </c>
      <c r="B13" s="114" t="s">
        <v>128</v>
      </c>
      <c r="C13" s="76">
        <f>SUM(D13:F13)</f>
        <v>2597</v>
      </c>
      <c r="D13" s="478">
        <f>1050-3</f>
        <v>1047</v>
      </c>
      <c r="E13" s="478">
        <v>1000</v>
      </c>
      <c r="F13" s="478">
        <v>550</v>
      </c>
      <c r="G13" s="478">
        <f>SUM(H13:J13)</f>
        <v>0</v>
      </c>
      <c r="H13" s="478"/>
      <c r="I13" s="478"/>
      <c r="J13" s="76"/>
      <c r="N13" s="512"/>
    </row>
    <row r="14" spans="1:10" ht="16.5" customHeight="1">
      <c r="A14" s="104">
        <v>3</v>
      </c>
      <c r="B14" s="114" t="s">
        <v>129</v>
      </c>
      <c r="C14" s="76">
        <f aca="true" t="shared" si="1" ref="C14:C28">SUM(D14:F14)</f>
        <v>1900</v>
      </c>
      <c r="D14" s="478">
        <v>800</v>
      </c>
      <c r="E14" s="478">
        <v>650</v>
      </c>
      <c r="F14" s="478">
        <v>450</v>
      </c>
      <c r="G14" s="478">
        <f aca="true" t="shared" si="2" ref="G14:G23">SUM(H14:J14)</f>
        <v>0</v>
      </c>
      <c r="H14" s="478"/>
      <c r="I14" s="478"/>
      <c r="J14" s="76"/>
    </row>
    <row r="15" spans="1:14" s="225" customFormat="1" ht="16.5" customHeight="1">
      <c r="A15" s="104">
        <v>4</v>
      </c>
      <c r="B15" s="114" t="s">
        <v>130</v>
      </c>
      <c r="C15" s="76">
        <f t="shared" si="1"/>
        <v>98</v>
      </c>
      <c r="D15" s="478">
        <f>50-2</f>
        <v>48</v>
      </c>
      <c r="E15" s="478">
        <v>50</v>
      </c>
      <c r="F15" s="478">
        <v>0</v>
      </c>
      <c r="G15" s="478">
        <f t="shared" si="2"/>
        <v>2</v>
      </c>
      <c r="H15" s="478">
        <v>2</v>
      </c>
      <c r="I15" s="478"/>
      <c r="J15" s="76"/>
      <c r="L15" s="512"/>
      <c r="N15" s="512"/>
    </row>
    <row r="16" spans="1:12" s="225" customFormat="1" ht="16.5" customHeight="1">
      <c r="A16" s="104">
        <v>5</v>
      </c>
      <c r="B16" s="114" t="s">
        <v>131</v>
      </c>
      <c r="C16" s="76">
        <f t="shared" si="1"/>
        <v>0</v>
      </c>
      <c r="D16" s="478"/>
      <c r="E16" s="478"/>
      <c r="F16" s="478"/>
      <c r="G16" s="478">
        <f t="shared" si="2"/>
        <v>1</v>
      </c>
      <c r="H16" s="478">
        <v>1</v>
      </c>
      <c r="I16" s="478"/>
      <c r="J16" s="76"/>
      <c r="L16" s="512"/>
    </row>
    <row r="17" spans="1:10" s="225" customFormat="1" ht="16.5" customHeight="1">
      <c r="A17" s="104">
        <v>6</v>
      </c>
      <c r="B17" s="114" t="s">
        <v>132</v>
      </c>
      <c r="C17" s="76">
        <f t="shared" si="1"/>
        <v>0</v>
      </c>
      <c r="D17" s="478"/>
      <c r="E17" s="478"/>
      <c r="F17" s="478"/>
      <c r="G17" s="478">
        <f t="shared" si="2"/>
        <v>0</v>
      </c>
      <c r="H17" s="478"/>
      <c r="I17" s="478"/>
      <c r="J17" s="76"/>
    </row>
    <row r="18" spans="1:10" s="225" customFormat="1" ht="16.5" customHeight="1">
      <c r="A18" s="104">
        <v>7</v>
      </c>
      <c r="B18" s="114" t="s">
        <v>133</v>
      </c>
      <c r="C18" s="76">
        <f t="shared" si="1"/>
        <v>0</v>
      </c>
      <c r="D18" s="478"/>
      <c r="E18" s="478"/>
      <c r="F18" s="478"/>
      <c r="G18" s="478">
        <f t="shared" si="2"/>
        <v>0</v>
      </c>
      <c r="H18" s="478"/>
      <c r="I18" s="478"/>
      <c r="J18" s="76"/>
    </row>
    <row r="19" spans="1:10" s="225" customFormat="1" ht="16.5" customHeight="1">
      <c r="A19" s="104">
        <v>8</v>
      </c>
      <c r="B19" s="114" t="s">
        <v>134</v>
      </c>
      <c r="C19" s="76">
        <f t="shared" si="1"/>
        <v>0</v>
      </c>
      <c r="D19" s="478"/>
      <c r="E19" s="478"/>
      <c r="F19" s="478"/>
      <c r="G19" s="478">
        <f t="shared" si="2"/>
        <v>0</v>
      </c>
      <c r="H19" s="478"/>
      <c r="I19" s="478"/>
      <c r="J19" s="76"/>
    </row>
    <row r="20" spans="1:10" s="225" customFormat="1" ht="16.5" customHeight="1">
      <c r="A20" s="104">
        <v>9</v>
      </c>
      <c r="B20" s="114" t="s">
        <v>135</v>
      </c>
      <c r="C20" s="76">
        <f t="shared" si="1"/>
        <v>100</v>
      </c>
      <c r="D20" s="478">
        <v>100</v>
      </c>
      <c r="E20" s="478"/>
      <c r="F20" s="478"/>
      <c r="G20" s="478">
        <f t="shared" si="2"/>
        <v>0</v>
      </c>
      <c r="H20" s="478"/>
      <c r="I20" s="478"/>
      <c r="J20" s="76"/>
    </row>
    <row r="21" spans="1:10" s="225" customFormat="1" ht="16.5" customHeight="1">
      <c r="A21" s="104">
        <v>10</v>
      </c>
      <c r="B21" s="114" t="s">
        <v>136</v>
      </c>
      <c r="C21" s="76">
        <f t="shared" si="1"/>
        <v>0</v>
      </c>
      <c r="D21" s="76">
        <v>0</v>
      </c>
      <c r="E21" s="76"/>
      <c r="F21" s="76"/>
      <c r="G21" s="76">
        <f t="shared" si="2"/>
        <v>0</v>
      </c>
      <c r="H21" s="76"/>
      <c r="I21" s="76"/>
      <c r="J21" s="76"/>
    </row>
    <row r="22" spans="1:10" s="225" customFormat="1" ht="16.5" customHeight="1">
      <c r="A22" s="104">
        <v>11</v>
      </c>
      <c r="B22" s="114" t="s">
        <v>137</v>
      </c>
      <c r="C22" s="76">
        <f t="shared" si="1"/>
        <v>0</v>
      </c>
      <c r="D22" s="76"/>
      <c r="E22" s="76"/>
      <c r="F22" s="76"/>
      <c r="G22" s="76">
        <f t="shared" si="2"/>
        <v>0</v>
      </c>
      <c r="H22" s="76"/>
      <c r="I22" s="76"/>
      <c r="J22" s="76"/>
    </row>
    <row r="23" spans="1:10" s="225" customFormat="1" ht="16.5" customHeight="1">
      <c r="A23" s="104">
        <v>12</v>
      </c>
      <c r="B23" s="114" t="s">
        <v>138</v>
      </c>
      <c r="C23" s="76">
        <f t="shared" si="1"/>
        <v>0</v>
      </c>
      <c r="D23" s="76">
        <v>0</v>
      </c>
      <c r="E23" s="76"/>
      <c r="F23" s="76"/>
      <c r="G23" s="76">
        <f t="shared" si="2"/>
        <v>0</v>
      </c>
      <c r="H23" s="76"/>
      <c r="I23" s="76"/>
      <c r="J23" s="76"/>
    </row>
    <row r="24" spans="1:12" s="225" customFormat="1" ht="15.75">
      <c r="A24" s="103"/>
      <c r="B24" s="224" t="s">
        <v>139</v>
      </c>
      <c r="C24" s="362">
        <f aca="true" t="shared" si="3" ref="C24:J24">SUM(C25:C28)</f>
        <v>1275</v>
      </c>
      <c r="D24" s="362">
        <f t="shared" si="3"/>
        <v>285</v>
      </c>
      <c r="E24" s="362">
        <f t="shared" si="3"/>
        <v>990</v>
      </c>
      <c r="F24" s="362">
        <f t="shared" si="3"/>
        <v>0</v>
      </c>
      <c r="G24" s="362">
        <f t="shared" si="3"/>
        <v>0</v>
      </c>
      <c r="H24" s="362">
        <f t="shared" si="3"/>
        <v>0</v>
      </c>
      <c r="I24" s="362">
        <f t="shared" si="3"/>
        <v>0</v>
      </c>
      <c r="J24" s="362">
        <f t="shared" si="3"/>
        <v>0</v>
      </c>
      <c r="L24" s="512"/>
    </row>
    <row r="25" spans="1:10" s="225" customFormat="1" ht="23.25" customHeight="1">
      <c r="A25" s="104">
        <v>13</v>
      </c>
      <c r="B25" s="105" t="s">
        <v>140</v>
      </c>
      <c r="C25" s="76">
        <f t="shared" si="1"/>
        <v>0</v>
      </c>
      <c r="D25" s="76">
        <v>0</v>
      </c>
      <c r="E25" s="76">
        <v>0</v>
      </c>
      <c r="F25" s="76"/>
      <c r="G25" s="76">
        <f>SUM(H25:J25)</f>
        <v>0</v>
      </c>
      <c r="H25" s="76"/>
      <c r="I25" s="76"/>
      <c r="J25" s="76"/>
    </row>
    <row r="26" spans="1:10" s="225" customFormat="1" ht="15.75">
      <c r="A26" s="104">
        <v>14</v>
      </c>
      <c r="B26" s="105" t="s">
        <v>141</v>
      </c>
      <c r="C26" s="76">
        <f t="shared" si="1"/>
        <v>180</v>
      </c>
      <c r="D26" s="76">
        <v>90</v>
      </c>
      <c r="E26" s="76">
        <v>90</v>
      </c>
      <c r="F26" s="76"/>
      <c r="G26" s="76">
        <f>SUM(H26:J26)</f>
        <v>0</v>
      </c>
      <c r="H26" s="76"/>
      <c r="I26" s="76"/>
      <c r="J26" s="76"/>
    </row>
    <row r="27" spans="1:10" ht="34.5" customHeight="1">
      <c r="A27" s="104">
        <v>15</v>
      </c>
      <c r="B27" s="105" t="s">
        <v>142</v>
      </c>
      <c r="C27" s="76">
        <f t="shared" si="1"/>
        <v>1095</v>
      </c>
      <c r="D27" s="76">
        <v>195</v>
      </c>
      <c r="E27" s="76">
        <v>900</v>
      </c>
      <c r="F27" s="76"/>
      <c r="G27" s="76">
        <f>SUM(H27:J27)</f>
        <v>0</v>
      </c>
      <c r="H27" s="76"/>
      <c r="I27" s="76"/>
      <c r="J27" s="76"/>
    </row>
    <row r="28" spans="1:10" ht="31.5">
      <c r="A28" s="104">
        <v>16</v>
      </c>
      <c r="B28" s="105" t="s">
        <v>143</v>
      </c>
      <c r="C28" s="76">
        <f t="shared" si="1"/>
        <v>0</v>
      </c>
      <c r="D28" s="76"/>
      <c r="E28" s="76"/>
      <c r="F28" s="76"/>
      <c r="G28" s="76">
        <f>SUM(H28:J28)</f>
        <v>0</v>
      </c>
      <c r="H28" s="76"/>
      <c r="I28" s="76"/>
      <c r="J28" s="76"/>
    </row>
    <row r="29" spans="1:10" ht="15.75">
      <c r="A29" s="106"/>
      <c r="B29" s="107" t="s">
        <v>63</v>
      </c>
      <c r="C29" s="94">
        <f aca="true" t="shared" si="4" ref="C29:J29">C24+C11</f>
        <v>5970</v>
      </c>
      <c r="D29" s="362">
        <f t="shared" si="4"/>
        <v>2280</v>
      </c>
      <c r="E29" s="362">
        <f t="shared" si="4"/>
        <v>2690</v>
      </c>
      <c r="F29" s="362">
        <f t="shared" si="4"/>
        <v>1000</v>
      </c>
      <c r="G29" s="94">
        <f t="shared" si="4"/>
        <v>5</v>
      </c>
      <c r="H29" s="362">
        <f t="shared" si="4"/>
        <v>5</v>
      </c>
      <c r="I29" s="362">
        <f t="shared" si="4"/>
        <v>0</v>
      </c>
      <c r="J29" s="362">
        <f t="shared" si="4"/>
        <v>0</v>
      </c>
    </row>
  </sheetData>
  <sheetProtection/>
  <mergeCells count="12">
    <mergeCell ref="D8:F8"/>
    <mergeCell ref="A7:A9"/>
    <mergeCell ref="B7:B9"/>
    <mergeCell ref="C7:F7"/>
    <mergeCell ref="I1:J1"/>
    <mergeCell ref="G7:J7"/>
    <mergeCell ref="G8:G9"/>
    <mergeCell ref="H8:J8"/>
    <mergeCell ref="A3:J3"/>
    <mergeCell ref="A5:J5"/>
    <mergeCell ref="E1:F1"/>
    <mergeCell ref="C8:C9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2"/>
  <sheetViews>
    <sheetView view="pageBreakPreview" zoomScale="80" zoomScaleSheetLayoutView="80" zoomScalePageLayoutView="0" workbookViewId="0" topLeftCell="A1">
      <selection activeCell="L6" sqref="L6"/>
    </sheetView>
  </sheetViews>
  <sheetFormatPr defaultColWidth="9.140625" defaultRowHeight="12.75"/>
  <cols>
    <col min="1" max="1" width="6.28125" style="380" customWidth="1"/>
    <col min="2" max="2" width="66.00390625" style="380" customWidth="1"/>
    <col min="3" max="3" width="15.28125" style="380" customWidth="1"/>
    <col min="4" max="4" width="18.00390625" style="380" customWidth="1"/>
    <col min="5" max="5" width="15.28125" style="380" customWidth="1"/>
    <col min="6" max="6" width="16.140625" style="380" customWidth="1"/>
    <col min="7" max="7" width="14.00390625" style="380" customWidth="1"/>
    <col min="8" max="9" width="13.28125" style="380" customWidth="1"/>
    <col min="10" max="10" width="16.7109375" style="380" customWidth="1"/>
    <col min="11" max="13" width="13.28125" style="380" customWidth="1"/>
    <col min="14" max="14" width="21.7109375" style="380" customWidth="1"/>
    <col min="15" max="15" width="12.7109375" style="380" customWidth="1"/>
    <col min="16" max="16" width="12.8515625" style="380" customWidth="1"/>
    <col min="17" max="17" width="9.57421875" style="380" bestFit="1" customWidth="1"/>
    <col min="18" max="18" width="10.421875" style="380" bestFit="1" customWidth="1"/>
    <col min="19" max="16384" width="9.140625" style="380" customWidth="1"/>
  </cols>
  <sheetData>
    <row r="1" ht="15.75">
      <c r="E1" s="381" t="s">
        <v>287</v>
      </c>
    </row>
    <row r="3" spans="1:5" ht="64.5" customHeight="1">
      <c r="A3" s="767" t="s">
        <v>348</v>
      </c>
      <c r="B3" s="767"/>
      <c r="C3" s="767"/>
      <c r="D3" s="767"/>
      <c r="E3" s="767"/>
    </row>
    <row r="5" spans="1:5" ht="38.25" customHeight="1">
      <c r="A5" s="768" t="s">
        <v>74</v>
      </c>
      <c r="B5" s="770" t="s">
        <v>231</v>
      </c>
      <c r="C5" s="772" t="s">
        <v>428</v>
      </c>
      <c r="D5" s="774" t="s">
        <v>425</v>
      </c>
      <c r="E5" s="776" t="s">
        <v>429</v>
      </c>
    </row>
    <row r="6" spans="1:14" ht="54" customHeight="1">
      <c r="A6" s="769"/>
      <c r="B6" s="771"/>
      <c r="C6" s="773"/>
      <c r="D6" s="775"/>
      <c r="E6" s="777"/>
      <c r="K6" s="590"/>
      <c r="L6" s="590"/>
      <c r="M6" s="590"/>
      <c r="N6" s="590"/>
    </row>
    <row r="7" spans="1:16" ht="22.5" customHeight="1">
      <c r="A7" s="420">
        <v>1</v>
      </c>
      <c r="B7" s="421" t="s">
        <v>41</v>
      </c>
      <c r="C7" s="480">
        <v>4085824.42</v>
      </c>
      <c r="D7" s="423"/>
      <c r="E7" s="433">
        <f aca="true" t="shared" si="0" ref="E7:E19">C7+D7</f>
        <v>4085824.42</v>
      </c>
      <c r="H7" s="429"/>
      <c r="O7" s="592"/>
      <c r="P7" s="591"/>
    </row>
    <row r="8" spans="1:19" ht="22.5" customHeight="1">
      <c r="A8" s="424" t="s">
        <v>262</v>
      </c>
      <c r="B8" s="425" t="s">
        <v>54</v>
      </c>
      <c r="C8" s="480">
        <v>487702.42</v>
      </c>
      <c r="D8" s="423"/>
      <c r="E8" s="433">
        <f t="shared" si="0"/>
        <v>487702.42</v>
      </c>
      <c r="H8" s="429"/>
      <c r="O8" s="592"/>
      <c r="P8" s="591"/>
      <c r="Q8" s="592"/>
      <c r="R8" s="595"/>
      <c r="S8" s="594"/>
    </row>
    <row r="9" spans="1:19" ht="33.75" customHeight="1">
      <c r="A9" s="424" t="s">
        <v>263</v>
      </c>
      <c r="B9" s="425" t="s">
        <v>515</v>
      </c>
      <c r="C9" s="480">
        <v>54779.79</v>
      </c>
      <c r="D9" s="423"/>
      <c r="E9" s="433">
        <f t="shared" si="0"/>
        <v>54779.79</v>
      </c>
      <c r="H9" s="429"/>
      <c r="O9" s="592"/>
      <c r="P9" s="591"/>
      <c r="S9" s="594"/>
    </row>
    <row r="10" spans="1:19" ht="32.25" customHeight="1">
      <c r="A10" s="424" t="s">
        <v>264</v>
      </c>
      <c r="B10" s="425" t="s">
        <v>510</v>
      </c>
      <c r="C10" s="480">
        <v>972534.2400000002</v>
      </c>
      <c r="D10" s="423">
        <v>-1146.63</v>
      </c>
      <c r="E10" s="433">
        <f t="shared" si="0"/>
        <v>971387.6100000002</v>
      </c>
      <c r="H10" s="429"/>
      <c r="O10" s="592"/>
      <c r="P10" s="591"/>
      <c r="R10" s="595"/>
      <c r="S10" s="594"/>
    </row>
    <row r="11" spans="1:16" ht="22.5" customHeight="1">
      <c r="A11" s="424" t="s">
        <v>514</v>
      </c>
      <c r="B11" s="425" t="s">
        <v>219</v>
      </c>
      <c r="C11" s="480">
        <v>1068337.17</v>
      </c>
      <c r="D11" s="423">
        <v>-2470.53</v>
      </c>
      <c r="E11" s="433">
        <f t="shared" si="0"/>
        <v>1065866.64</v>
      </c>
      <c r="F11" s="429"/>
      <c r="H11" s="429"/>
      <c r="O11" s="592"/>
      <c r="P11" s="591"/>
    </row>
    <row r="12" spans="1:16" ht="22.5" customHeight="1">
      <c r="A12" s="424" t="s">
        <v>265</v>
      </c>
      <c r="B12" s="425" t="s">
        <v>232</v>
      </c>
      <c r="C12" s="480">
        <v>350991.34</v>
      </c>
      <c r="D12" s="423"/>
      <c r="E12" s="433">
        <f t="shared" si="0"/>
        <v>350991.34</v>
      </c>
      <c r="F12" s="429"/>
      <c r="G12" s="429"/>
      <c r="H12" s="429"/>
      <c r="O12" s="592"/>
      <c r="P12" s="591"/>
    </row>
    <row r="13" spans="1:16" ht="20.25" customHeight="1">
      <c r="A13" s="424" t="s">
        <v>266</v>
      </c>
      <c r="B13" s="421" t="s">
        <v>233</v>
      </c>
      <c r="C13" s="480">
        <v>6175.92</v>
      </c>
      <c r="D13" s="423"/>
      <c r="E13" s="433">
        <f t="shared" si="0"/>
        <v>6175.92</v>
      </c>
      <c r="O13" s="592"/>
      <c r="P13" s="591"/>
    </row>
    <row r="14" spans="1:16" ht="20.25" customHeight="1">
      <c r="A14" s="424" t="s">
        <v>267</v>
      </c>
      <c r="B14" s="426" t="s">
        <v>234</v>
      </c>
      <c r="C14" s="480">
        <v>3955.07</v>
      </c>
      <c r="D14" s="423"/>
      <c r="E14" s="433">
        <f t="shared" si="0"/>
        <v>3955.07</v>
      </c>
      <c r="O14" s="592"/>
      <c r="P14" s="591"/>
    </row>
    <row r="15" spans="1:16" ht="20.25" customHeight="1">
      <c r="A15" s="424" t="s">
        <v>268</v>
      </c>
      <c r="B15" s="425" t="s">
        <v>235</v>
      </c>
      <c r="C15" s="480">
        <v>38026.78</v>
      </c>
      <c r="D15" s="423"/>
      <c r="E15" s="433">
        <f t="shared" si="0"/>
        <v>38026.78</v>
      </c>
      <c r="O15" s="592"/>
      <c r="P15" s="591"/>
    </row>
    <row r="16" spans="1:16" ht="20.25" customHeight="1">
      <c r="A16" s="424" t="s">
        <v>269</v>
      </c>
      <c r="B16" s="425" t="s">
        <v>236</v>
      </c>
      <c r="C16" s="480">
        <v>51999.07</v>
      </c>
      <c r="D16" s="423"/>
      <c r="E16" s="433">
        <f t="shared" si="0"/>
        <v>51999.07</v>
      </c>
      <c r="H16" s="429"/>
      <c r="O16" s="592"/>
      <c r="P16" s="591"/>
    </row>
    <row r="17" spans="1:16" ht="23.25" customHeight="1">
      <c r="A17" s="424" t="s">
        <v>270</v>
      </c>
      <c r="B17" s="425" t="s">
        <v>237</v>
      </c>
      <c r="C17" s="480">
        <v>52262.38</v>
      </c>
      <c r="D17" s="423"/>
      <c r="E17" s="433">
        <f t="shared" si="0"/>
        <v>52262.38</v>
      </c>
      <c r="H17" s="429"/>
      <c r="O17" s="592"/>
      <c r="P17" s="591"/>
    </row>
    <row r="18" spans="1:16" ht="24" customHeight="1">
      <c r="A18" s="424" t="s">
        <v>271</v>
      </c>
      <c r="B18" s="426" t="s">
        <v>238</v>
      </c>
      <c r="C18" s="480">
        <v>8259.22</v>
      </c>
      <c r="D18" s="423"/>
      <c r="E18" s="433">
        <f t="shared" si="0"/>
        <v>8259.22</v>
      </c>
      <c r="H18" s="429"/>
      <c r="P18" s="591"/>
    </row>
    <row r="19" spans="1:16" ht="20.25" customHeight="1">
      <c r="A19" s="424" t="s">
        <v>272</v>
      </c>
      <c r="B19" s="426" t="s">
        <v>239</v>
      </c>
      <c r="C19" s="480">
        <v>5666.29</v>
      </c>
      <c r="D19" s="423"/>
      <c r="E19" s="433">
        <f t="shared" si="0"/>
        <v>5666.29</v>
      </c>
      <c r="H19" s="429"/>
      <c r="P19" s="591"/>
    </row>
    <row r="20" spans="1:16" ht="20.25" customHeight="1">
      <c r="A20" s="424" t="s">
        <v>273</v>
      </c>
      <c r="B20" s="425" t="s">
        <v>106</v>
      </c>
      <c r="C20" s="480">
        <v>732.58</v>
      </c>
      <c r="D20" s="423"/>
      <c r="E20" s="433">
        <v>732.58</v>
      </c>
      <c r="H20" s="429"/>
      <c r="P20" s="591"/>
    </row>
    <row r="21" spans="1:16" ht="20.25" customHeight="1">
      <c r="A21" s="424" t="s">
        <v>274</v>
      </c>
      <c r="B21" s="425" t="s">
        <v>240</v>
      </c>
      <c r="C21" s="480">
        <v>474.18</v>
      </c>
      <c r="D21" s="423"/>
      <c r="E21" s="433">
        <f aca="true" t="shared" si="1" ref="E21:E28">C21+D21</f>
        <v>474.18</v>
      </c>
      <c r="H21" s="429"/>
      <c r="P21" s="591"/>
    </row>
    <row r="22" spans="1:16" ht="20.25" customHeight="1">
      <c r="A22" s="424" t="s">
        <v>275</v>
      </c>
      <c r="B22" s="425" t="s">
        <v>55</v>
      </c>
      <c r="C22" s="480">
        <v>1870.93</v>
      </c>
      <c r="D22" s="423"/>
      <c r="E22" s="433">
        <f t="shared" si="1"/>
        <v>1870.93</v>
      </c>
      <c r="H22" s="429"/>
      <c r="P22" s="591"/>
    </row>
    <row r="23" spans="1:16" ht="23.25" customHeight="1">
      <c r="A23" s="424" t="s">
        <v>276</v>
      </c>
      <c r="B23" s="426" t="s">
        <v>426</v>
      </c>
      <c r="C23" s="480">
        <v>468.21000000000004</v>
      </c>
      <c r="D23" s="423"/>
      <c r="E23" s="433">
        <f t="shared" si="1"/>
        <v>468.21000000000004</v>
      </c>
      <c r="G23" s="593"/>
      <c r="H23" s="593"/>
      <c r="I23" s="593"/>
      <c r="J23" s="593"/>
      <c r="K23" s="593"/>
      <c r="L23" s="593"/>
      <c r="M23" s="593"/>
      <c r="N23" s="593"/>
      <c r="O23" s="593"/>
      <c r="P23" s="593"/>
    </row>
    <row r="24" spans="1:11" ht="26.25" customHeight="1">
      <c r="A24" s="424" t="s">
        <v>277</v>
      </c>
      <c r="B24" s="425" t="s">
        <v>325</v>
      </c>
      <c r="C24" s="480">
        <v>1292.23</v>
      </c>
      <c r="D24" s="423"/>
      <c r="E24" s="433">
        <f t="shared" si="1"/>
        <v>1292.23</v>
      </c>
      <c r="H24" s="429"/>
      <c r="K24" s="592"/>
    </row>
    <row r="25" spans="1:16" ht="20.25" customHeight="1">
      <c r="A25" s="424" t="s">
        <v>278</v>
      </c>
      <c r="B25" s="425" t="s">
        <v>280</v>
      </c>
      <c r="C25" s="480">
        <v>14077.53</v>
      </c>
      <c r="D25" s="423"/>
      <c r="E25" s="433">
        <f t="shared" si="1"/>
        <v>14077.53</v>
      </c>
      <c r="G25" s="594"/>
      <c r="H25" s="594"/>
      <c r="I25" s="595"/>
      <c r="J25" s="595"/>
      <c r="K25" s="594"/>
      <c r="L25" s="595"/>
      <c r="M25" s="595"/>
      <c r="N25" s="595"/>
      <c r="O25" s="595"/>
      <c r="P25" s="596"/>
    </row>
    <row r="26" spans="1:8" ht="31.5" customHeight="1">
      <c r="A26" s="424" t="s">
        <v>279</v>
      </c>
      <c r="B26" s="425" t="s">
        <v>435</v>
      </c>
      <c r="C26" s="480">
        <v>997.83</v>
      </c>
      <c r="D26" s="423"/>
      <c r="E26" s="433">
        <f t="shared" si="1"/>
        <v>997.83</v>
      </c>
      <c r="F26" s="429"/>
      <c r="H26" s="429"/>
    </row>
    <row r="27" spans="1:8" ht="20.25" customHeight="1">
      <c r="A27" s="424" t="s">
        <v>281</v>
      </c>
      <c r="B27" s="425" t="s">
        <v>437</v>
      </c>
      <c r="C27" s="480">
        <v>261.8</v>
      </c>
      <c r="D27" s="423"/>
      <c r="E27" s="433">
        <f t="shared" si="1"/>
        <v>261.8</v>
      </c>
      <c r="F27" s="429"/>
      <c r="H27" s="429"/>
    </row>
    <row r="28" spans="1:8" ht="20.25" customHeight="1">
      <c r="A28" s="424" t="s">
        <v>427</v>
      </c>
      <c r="B28" s="425" t="s">
        <v>512</v>
      </c>
      <c r="C28" s="480"/>
      <c r="D28" s="423">
        <f>2470.53+1146.63</f>
        <v>3617.1600000000003</v>
      </c>
      <c r="E28" s="433">
        <f t="shared" si="1"/>
        <v>3617.1600000000003</v>
      </c>
      <c r="F28" s="429"/>
      <c r="H28" s="429"/>
    </row>
    <row r="29" spans="1:7" s="436" customFormat="1" ht="21.75" customHeight="1">
      <c r="A29" s="434"/>
      <c r="B29" s="435" t="s">
        <v>343</v>
      </c>
      <c r="C29" s="427">
        <f>SUM(C7:C28)</f>
        <v>7206689.4</v>
      </c>
      <c r="D29" s="423">
        <f>SUM(D7:D28)</f>
        <v>0</v>
      </c>
      <c r="E29" s="427">
        <f>SUM(E7:E28)</f>
        <v>7206689.4</v>
      </c>
      <c r="F29" s="439">
        <v>7206689.4</v>
      </c>
      <c r="G29" s="441">
        <f>F29-E29</f>
        <v>0</v>
      </c>
    </row>
    <row r="30" spans="1:7" ht="37.5" customHeight="1">
      <c r="A30" s="424" t="s">
        <v>513</v>
      </c>
      <c r="B30" s="425" t="s">
        <v>345</v>
      </c>
      <c r="C30" s="422">
        <v>150000</v>
      </c>
      <c r="D30" s="423"/>
      <c r="E30" s="422">
        <f>C30+D30</f>
        <v>150000</v>
      </c>
      <c r="F30" s="440"/>
      <c r="G30" s="429"/>
    </row>
    <row r="31" spans="1:7" ht="26.25" customHeight="1">
      <c r="A31" s="427"/>
      <c r="B31" s="428" t="s">
        <v>344</v>
      </c>
      <c r="C31" s="427">
        <f>C30+C29</f>
        <v>7356689.4</v>
      </c>
      <c r="D31" s="423">
        <f>D30+D29</f>
        <v>0</v>
      </c>
      <c r="E31" s="427">
        <f>E30+E29</f>
        <v>7356689.4</v>
      </c>
      <c r="F31" s="439">
        <v>7356248.8</v>
      </c>
      <c r="G31" s="429"/>
    </row>
    <row r="32" ht="24" customHeight="1">
      <c r="G32" s="429"/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2023-06-28T06:00:06Z</cp:lastPrinted>
  <dcterms:created xsi:type="dcterms:W3CDTF">1996-10-08T23:32:33Z</dcterms:created>
  <dcterms:modified xsi:type="dcterms:W3CDTF">2023-10-09T00:29:04Z</dcterms:modified>
  <cp:category/>
  <cp:version/>
  <cp:contentType/>
  <cp:contentStatus/>
</cp:coreProperties>
</file>