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6585" tabRatio="898" activeTab="5"/>
  </bookViews>
  <sheets>
    <sheet name="1. АМП" sheetId="1" r:id="rId1"/>
    <sheet name="1.1. ПРОФ.МЕРОПРИЯТИЯ" sheetId="2" r:id="rId2"/>
    <sheet name="1.2. Диспансерное наблюдение" sheetId="3" r:id="rId3"/>
    <sheet name="1.3. ИССЛЕДОВАНИЯ" sheetId="4" r:id="rId4"/>
    <sheet name="2. КС" sheetId="5" r:id="rId5"/>
    <sheet name="3. ДС" sheetId="6" r:id="rId6"/>
    <sheet name="4. СМП" sheetId="7" r:id="rId7"/>
    <sheet name="5. УСЛУГИ ДИАЛИЗА" sheetId="8" r:id="rId8"/>
    <sheet name="6. Объем фин.обеспечения " sheetId="9" r:id="rId9"/>
    <sheet name="10. объём доп. фед. средств" sheetId="10" state="hidden" r:id="rId10"/>
  </sheets>
  <definedNames>
    <definedName name="_xlnm._FilterDatabase" localSheetId="5" hidden="1">'3. ДС'!$A$8:$Q$148</definedName>
    <definedName name="_xlnm.Print_Titles" localSheetId="0">'1. АМП'!$9:$11</definedName>
    <definedName name="_xlnm.Print_Titles" localSheetId="3">'1.3. ИССЛЕДОВАНИЯ'!$6:$7</definedName>
    <definedName name="_xlnm.Print_Titles" localSheetId="4">'2. КС'!$6:$6</definedName>
    <definedName name="_xlnm.Print_Titles" localSheetId="5">'3. ДС'!$7:$8</definedName>
    <definedName name="_xlnm.Print_Area" localSheetId="0">'1. АМП'!$A$1:$E$398</definedName>
    <definedName name="_xlnm.Print_Area" localSheetId="1">'1.1. ПРОФ.МЕРОПРИЯТИЯ'!$A$1:$I$22</definedName>
    <definedName name="_xlnm.Print_Area" localSheetId="3">'1.3. ИССЛЕДОВАНИЯ'!$A$1:$M$72</definedName>
    <definedName name="_xlnm.Print_Area" localSheetId="4">'2. КС'!$A$1:$D$190</definedName>
    <definedName name="_xlnm.Print_Area" localSheetId="5">'3. ДС'!$A$1:$F$140</definedName>
    <definedName name="_xlnm.Print_Area" localSheetId="6">'4. СМП'!$A$1:$C$13</definedName>
    <definedName name="_xlnm.Print_Area" localSheetId="7">'5. УСЛУГИ ДИАЛИЗА'!$A$1:$J$29</definedName>
    <definedName name="_xlnm.Print_Area" localSheetId="8">'6. Объем фин.обеспечения '!$A$1:$E$30</definedName>
  </definedNames>
  <calcPr fullCalcOnLoad="1"/>
</workbook>
</file>

<file path=xl/comments1.xml><?xml version="1.0" encoding="utf-8"?>
<comments xmlns="http://schemas.openxmlformats.org/spreadsheetml/2006/main">
  <authors>
    <author>kazanceva</author>
  </authors>
  <commentList>
    <comment ref="B50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59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72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70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102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I403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I405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G426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<sst xmlns="http://schemas.openxmlformats.org/spreadsheetml/2006/main" count="775" uniqueCount="512">
  <si>
    <t>Терапия</t>
  </si>
  <si>
    <t>Урология</t>
  </si>
  <si>
    <t>Офтальмология</t>
  </si>
  <si>
    <t>Неврология</t>
  </si>
  <si>
    <t>НАИМЕНОВАНИЕ СПЕЦИАЛЬНОСТИ</t>
  </si>
  <si>
    <t>Эндокринология</t>
  </si>
  <si>
    <t>Онкология</t>
  </si>
  <si>
    <t>ИТОГО:</t>
  </si>
  <si>
    <t>Нефрология</t>
  </si>
  <si>
    <t>Гастроэнтерология</t>
  </si>
  <si>
    <t>Пульмонология</t>
  </si>
  <si>
    <t>Гематология</t>
  </si>
  <si>
    <t>Нейрохирургия</t>
  </si>
  <si>
    <t>Дерматология</t>
  </si>
  <si>
    <t>ВСЕГО АМБУЛАТОРНО-ПОЛИКЛИНИЧЕСКАЯ ПОМОЩЬ</t>
  </si>
  <si>
    <t>Гастроэнтерологические</t>
  </si>
  <si>
    <t>Гематологические</t>
  </si>
  <si>
    <t>Кардиологические</t>
  </si>
  <si>
    <t>Нефрологические</t>
  </si>
  <si>
    <t>Офтальмологические</t>
  </si>
  <si>
    <t>Пульмонологические</t>
  </si>
  <si>
    <t>Терапевтические</t>
  </si>
  <si>
    <t>Эндокринологические</t>
  </si>
  <si>
    <t>Инфекционные взрослые</t>
  </si>
  <si>
    <t>Педиатрические</t>
  </si>
  <si>
    <t>Инфекционные детские</t>
  </si>
  <si>
    <t xml:space="preserve">Неврологические </t>
  </si>
  <si>
    <t>Сосудистой хирургии</t>
  </si>
  <si>
    <t>Инфекционные</t>
  </si>
  <si>
    <t xml:space="preserve">Хирургические </t>
  </si>
  <si>
    <t xml:space="preserve">Патология новорожденных </t>
  </si>
  <si>
    <t>Неврологические</t>
  </si>
  <si>
    <t>ВСЕГО:</t>
  </si>
  <si>
    <t>Хирургия</t>
  </si>
  <si>
    <t>Детская хирургия</t>
  </si>
  <si>
    <t>Стоматология</t>
  </si>
  <si>
    <t>ФАП</t>
  </si>
  <si>
    <t>Нейрохирургические</t>
  </si>
  <si>
    <t>Акушерство-гинекология</t>
  </si>
  <si>
    <t>Челюстно-лицевой хирургии</t>
  </si>
  <si>
    <t>Ревматология</t>
  </si>
  <si>
    <t>ОГБУЗ "Магаданский родильный дом"</t>
  </si>
  <si>
    <t>ГБУЗ "Магаданская областная больница"</t>
  </si>
  <si>
    <t>Стоматолог взрослый</t>
  </si>
  <si>
    <t>Стоматолог детский</t>
  </si>
  <si>
    <t>посещения по неотложной помощи</t>
  </si>
  <si>
    <t>обращения по заболеваниям</t>
  </si>
  <si>
    <t>Врач общей практики</t>
  </si>
  <si>
    <t>ВСЕГО скорая медицинская помощь</t>
  </si>
  <si>
    <t>Урологические</t>
  </si>
  <si>
    <t>Дерматологические</t>
  </si>
  <si>
    <t>Колопроктологические</t>
  </si>
  <si>
    <t>Ревматологические</t>
  </si>
  <si>
    <t>Дерматологические (для детей)</t>
  </si>
  <si>
    <t>из них для производства абортов</t>
  </si>
  <si>
    <t>ГБУЗ "Магаданская областная детская больница"</t>
  </si>
  <si>
    <t>ООО "ЭКО-ЦЕНТР"</t>
  </si>
  <si>
    <t>Центр дерматовенерологии</t>
  </si>
  <si>
    <t>Акушерство-гинекология (ЭКО)</t>
  </si>
  <si>
    <t xml:space="preserve"> </t>
  </si>
  <si>
    <t>ИТОГО</t>
  </si>
  <si>
    <t>ВСЕГО ГБУЗ "МОБ"</t>
  </si>
  <si>
    <t>Акушерское дело</t>
  </si>
  <si>
    <t>Кабинет неотложной помощи</t>
  </si>
  <si>
    <t>Колопроктология</t>
  </si>
  <si>
    <t>ВСЕГО</t>
  </si>
  <si>
    <t>Кардиология</t>
  </si>
  <si>
    <t>Неонатология</t>
  </si>
  <si>
    <t>Травматология и ортопедия</t>
  </si>
  <si>
    <t>Хирургия (комбустиология)</t>
  </si>
  <si>
    <t>Акушерство и гинекология</t>
  </si>
  <si>
    <t>Оториноларингология</t>
  </si>
  <si>
    <t>Медицинская реабилитация</t>
  </si>
  <si>
    <t>Гериатрия</t>
  </si>
  <si>
    <t>Детская кардиология</t>
  </si>
  <si>
    <t>Детская эндокринология</t>
  </si>
  <si>
    <t>№ п/п</t>
  </si>
  <si>
    <t>Аллергология-иммунология</t>
  </si>
  <si>
    <t>Отоларингология</t>
  </si>
  <si>
    <t>Аллергология-имуннология</t>
  </si>
  <si>
    <t>Инфекционные заболевания</t>
  </si>
  <si>
    <t>Средний медперсонал, ведущий самостоятельный прием</t>
  </si>
  <si>
    <t>Онкологические (хирургические)</t>
  </si>
  <si>
    <t>Онкологические (химиотерапевтические)</t>
  </si>
  <si>
    <t>Акушерское дело (сестренский уход)</t>
  </si>
  <si>
    <t>Геронтологические</t>
  </si>
  <si>
    <t>Наименование профиля коек</t>
  </si>
  <si>
    <t>Травматология и ортопедия (Ортопедические)</t>
  </si>
  <si>
    <t>1.1</t>
  </si>
  <si>
    <t>без контрастирование</t>
  </si>
  <si>
    <t>1.2</t>
  </si>
  <si>
    <t xml:space="preserve"> с внутривенным контрастированием</t>
  </si>
  <si>
    <t>1.3</t>
  </si>
  <si>
    <t>иные</t>
  </si>
  <si>
    <t>2.1</t>
  </si>
  <si>
    <t>2.2</t>
  </si>
  <si>
    <t>2.3</t>
  </si>
  <si>
    <t>3.1</t>
  </si>
  <si>
    <t>3.2</t>
  </si>
  <si>
    <t>3.3</t>
  </si>
  <si>
    <t>3.4</t>
  </si>
  <si>
    <t>5.1</t>
  </si>
  <si>
    <t>5.2</t>
  </si>
  <si>
    <t>5.3</t>
  </si>
  <si>
    <t>5.4</t>
  </si>
  <si>
    <t>5.5</t>
  </si>
  <si>
    <t>5.6</t>
  </si>
  <si>
    <t>Наименвание исследования</t>
  </si>
  <si>
    <t>ООО "Кристалл"</t>
  </si>
  <si>
    <t>ВСЕГО посещений</t>
  </si>
  <si>
    <t>Акушерство-гинекология (патология шейки  матки)</t>
  </si>
  <si>
    <t>Сосудистая  хирургия</t>
  </si>
  <si>
    <t>ПРИЛОЖЕНИЕ</t>
  </si>
  <si>
    <t xml:space="preserve">к Решению комиссии по разработке </t>
  </si>
  <si>
    <t>4. СКОРАЯ МЕДИЦИНСКАЯ ПОМОЩЬ</t>
  </si>
  <si>
    <t>НАИМЕНОВАНИЕ МЕДИЦИНСКОЙ ОРГАНИЗАЦИИ</t>
  </si>
  <si>
    <t>ООО "ЮНИЛАБ-ХАБАРОВСК"</t>
  </si>
  <si>
    <t xml:space="preserve">Бактериологическое исследование материала на флору и чуствительность к антибиотикам (отделяемое цервикального канала,ушей,глаз,зева и носа- одна локализация (хромогенные среды) </t>
  </si>
  <si>
    <t xml:space="preserve">А/т к циклическому цитрулиновому пептиду (А-ССР) </t>
  </si>
  <si>
    <t>Антитела к Sacchharomyces cerevisiae IgA (болезнь Крона)</t>
  </si>
  <si>
    <t>Антитела к Sacchharomyces cerevisiae IgG (болезнь Крона)</t>
  </si>
  <si>
    <t>Специфические антитела на дерматомиозит,полимиозит,миозит</t>
  </si>
  <si>
    <t>Антиядерные антитела (ANA)  (ИММУНОБЛОТ) К</t>
  </si>
  <si>
    <t>1 (NSE) Нейрон -специфическая енолаза (сыворотка)</t>
  </si>
  <si>
    <t>1 Хромогранин А К (отобранная сыворотка)</t>
  </si>
  <si>
    <t>8.1</t>
  </si>
  <si>
    <t>8.2</t>
  </si>
  <si>
    <t>УЗИ лифматических узлов</t>
  </si>
  <si>
    <t>УЗИ молочных желез (2-х )</t>
  </si>
  <si>
    <t>Услуги гемодиализа</t>
  </si>
  <si>
    <t>Гемодиализ</t>
  </si>
  <si>
    <t>Гемодиализ интермиттирующий низкопоточный</t>
  </si>
  <si>
    <t>Гемодиализ интермиттирующий высокопоточный</t>
  </si>
  <si>
    <t>Гемодиафильтрация</t>
  </si>
  <si>
    <t>Ультрафильтрация крови</t>
  </si>
  <si>
    <t>Гемодиализ интермиттирующий продленный</t>
  </si>
  <si>
    <t>Гемофильтрация крови</t>
  </si>
  <si>
    <t>Ультрафильтрация продленная</t>
  </si>
  <si>
    <t>Гемодиафильтрация продленная</t>
  </si>
  <si>
    <t>Гемодиализ продолжительный</t>
  </si>
  <si>
    <t>Гемофильтрация крови продолжительная</t>
  </si>
  <si>
    <t>Гемодиафильтрация продолжительная</t>
  </si>
  <si>
    <t>Услуги перитонеального диализа</t>
  </si>
  <si>
    <t>Перитонеальный диализ</t>
  </si>
  <si>
    <t>Перитонеальный диализ проточный</t>
  </si>
  <si>
    <t>Перитонеальный диализ с использованием автоматизированных технологий</t>
  </si>
  <si>
    <t>Перитонеальный диализ при нарушении ультрафильтрации</t>
  </si>
  <si>
    <t>6.  УСЛУГИ ДИАЛИЗА</t>
  </si>
  <si>
    <t xml:space="preserve"> - диспансеризация детей-сирот в стационарных учреждениях;</t>
  </si>
  <si>
    <t xml:space="preserve"> - диспансеризация детей-сирот, оставшихся без попечения родителей, в т.ч. усыновленных;</t>
  </si>
  <si>
    <t xml:space="preserve"> - профилактические осмотры несовершеннолетних</t>
  </si>
  <si>
    <t>допплерография сосудов</t>
  </si>
  <si>
    <t>дуплексное сканирование сосудов</t>
  </si>
  <si>
    <t>бронхоскопия</t>
  </si>
  <si>
    <t>эзофагогастродуоденоскопия</t>
  </si>
  <si>
    <t>интестиноскопия</t>
  </si>
  <si>
    <t>колоноскопия</t>
  </si>
  <si>
    <t>ректосигмоидоскопия</t>
  </si>
  <si>
    <t>видеокапсульные исследования</t>
  </si>
  <si>
    <t>эндосонография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</si>
  <si>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</si>
  <si>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</si>
  <si>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</si>
  <si>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</si>
  <si>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</si>
  <si>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</si>
  <si>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</si>
  <si>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4.8</t>
  </si>
  <si>
    <t>Эхокардиография</t>
  </si>
  <si>
    <t>8.3</t>
  </si>
  <si>
    <t xml:space="preserve">  - высокотехнологичная медицинская помощь</t>
  </si>
  <si>
    <t xml:space="preserve"> -  медицинская помощь по профилю "Онкология"</t>
  </si>
  <si>
    <t>№ группы ВМП</t>
  </si>
  <si>
    <t>Случаи госпитализации</t>
  </si>
  <si>
    <t>ВСЕГО по ГБУЗ "МОБ", из них:</t>
  </si>
  <si>
    <t>ВСЕГО ПО СТАЦИОНАРНОЙ МЕДИЦИНСКОЙ ПОМОЩИ, из них:</t>
  </si>
  <si>
    <t xml:space="preserve"> - медицинская реабилитация</t>
  </si>
  <si>
    <t>Лечение граждан застрахованных на территории Магаданской области в других субъектах Российской Федерации</t>
  </si>
  <si>
    <t xml:space="preserve">Стационар дневного пребывания </t>
  </si>
  <si>
    <t>Дневной стационар при поликлинике</t>
  </si>
  <si>
    <t>Дневной стационар на дому</t>
  </si>
  <si>
    <t>Случаев лечения</t>
  </si>
  <si>
    <t>ИТОГО ОБЪЕМ МЕДИЦИНСКОЙ ПОМОЩИ В УСЛОВИЯХ ДНЕВНОГО СТАЦИОНАРА</t>
  </si>
  <si>
    <t>Онкологические (Радиологические)</t>
  </si>
  <si>
    <t>ИТОГО МО вошедшие в реестр с других территорий, из них:</t>
  </si>
  <si>
    <t xml:space="preserve"> - ЭКО</t>
  </si>
  <si>
    <t>ВСЕГО ОБЪЕМ МЕДИЦИНСКОЙ ПОМОЩИ В УСЛОВИЯХ ДНЕВНОГО СТАЦИОНАРА, ИЗ НИХ:</t>
  </si>
  <si>
    <t>Лечение граждан застрахованных на территории Магаданской области в других субъектах Российской Федерации, из них:</t>
  </si>
  <si>
    <t>КОЛИЧЕСТВО ВЫЗОВОВ</t>
  </si>
  <si>
    <t>Патологоанатомического исследования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</si>
  <si>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9.1</t>
  </si>
  <si>
    <t>9.2</t>
  </si>
  <si>
    <t>8.4</t>
  </si>
  <si>
    <t>8.5</t>
  </si>
  <si>
    <t>8.6</t>
  </si>
  <si>
    <t>8.7</t>
  </si>
  <si>
    <t>8.8</t>
  </si>
  <si>
    <t>Тестирования на выявление новой коронавирусной инфекции (COVID-19)</t>
  </si>
  <si>
    <t>Амбулаторная медицинская помощь</t>
  </si>
  <si>
    <t>с профилактической и иной целью</t>
  </si>
  <si>
    <t>Лечение за пределами Магаданской области</t>
  </si>
  <si>
    <t>Клинико-диагностические исследования:</t>
  </si>
  <si>
    <t>Эндоскопического диагностического исследования:</t>
  </si>
  <si>
    <t>Компьютерная томография:</t>
  </si>
  <si>
    <t>Магнитно-резонансные томографии:</t>
  </si>
  <si>
    <t>Итого ЦАОП:</t>
  </si>
  <si>
    <t xml:space="preserve"> - профилактические медицинские осмотры взрослого населения</t>
  </si>
  <si>
    <t>ИТОГО лечение за пределами Магаданской области (МТР):</t>
  </si>
  <si>
    <t>Средний медицинский персонал, ведущий самостоятельный приём</t>
  </si>
  <si>
    <t>Наименование медицинской организации</t>
  </si>
  <si>
    <t>в том числе:</t>
  </si>
  <si>
    <t>Диспансеризация определенных групп взрослого населения</t>
  </si>
  <si>
    <t>несовершеннолетних</t>
  </si>
  <si>
    <t>взрослого населения</t>
  </si>
  <si>
    <t>КС</t>
  </si>
  <si>
    <t>ДС</t>
  </si>
  <si>
    <t>АМП</t>
  </si>
  <si>
    <t>Стоматология, в том числе:</t>
  </si>
  <si>
    <t xml:space="preserve"> - для взрослых</t>
  </si>
  <si>
    <t xml:space="preserve"> - для детей</t>
  </si>
  <si>
    <t>Центр здоровья, в том числе:</t>
  </si>
  <si>
    <t xml:space="preserve"> - педиатрия</t>
  </si>
  <si>
    <t xml:space="preserve"> - терапия</t>
  </si>
  <si>
    <t>МОГБУЗ "Городская поликлиника"</t>
  </si>
  <si>
    <t>Диспансеризация детей сирот в стационарных учреждениях</t>
  </si>
  <si>
    <t>Средний медицинский персонал</t>
  </si>
  <si>
    <t>Центр амбулаторной онкологической помощи:</t>
  </si>
  <si>
    <t>Итого поликлиника:</t>
  </si>
  <si>
    <t>ГБУЗ «Магаданская областная больница»</t>
  </si>
  <si>
    <t>Акушерство и гинекология (койки для берменных и рожениц)</t>
  </si>
  <si>
    <t>Акушерство и гинекология (койки патологии беременности)</t>
  </si>
  <si>
    <t>Акушерство и гинекология (койки гинекологические)</t>
  </si>
  <si>
    <t>Детская урология-андрология</t>
  </si>
  <si>
    <t xml:space="preserve">Акушерство и гинекология </t>
  </si>
  <si>
    <t xml:space="preserve">Онкологические </t>
  </si>
  <si>
    <t>ИТОГО НА ТЕРРИТОРИИ ОБЛАСТИ</t>
  </si>
  <si>
    <t>18.  Объём медицинской помощи, предусмотренный на лечение граждан застрахованных на территории Магаданской области в других субъектах Российской Федерации (МТР)</t>
  </si>
  <si>
    <t>Наименование организации</t>
  </si>
  <si>
    <t>МОГБУЗ "Станция скорой медицинской помощи"</t>
  </si>
  <si>
    <t>ООО "ВИТА"</t>
  </si>
  <si>
    <t>ООО "Вита-Дент"</t>
  </si>
  <si>
    <t>ООО "Дантист"</t>
  </si>
  <si>
    <t>ООО "Дантист-Плюс"</t>
  </si>
  <si>
    <t>ООО "Дантист XXI век"</t>
  </si>
  <si>
    <t>ООО "Стоматологический кабинет "Доверие"</t>
  </si>
  <si>
    <t>ООО "Мой доктор""</t>
  </si>
  <si>
    <t>ООО "ЮНИЛАБ - Хабаровск"</t>
  </si>
  <si>
    <t>Челюстно-лицевая хирургия</t>
  </si>
  <si>
    <t xml:space="preserve">Медицинская реабилитация </t>
  </si>
  <si>
    <t>2. ГБУЗ "Магаданская областная детская больница"</t>
  </si>
  <si>
    <t>3. ОГБУЗ "Магаданский родильный дом"</t>
  </si>
  <si>
    <t>4. ГАУ РС (Я) "Якутская республиканская офтальмологическая клиническая больница"</t>
  </si>
  <si>
    <t xml:space="preserve">4. МОГБУЗ "Городская поликлиника" </t>
  </si>
  <si>
    <t xml:space="preserve">1. ГБУЗ "Магаданская областная больница" </t>
  </si>
  <si>
    <t xml:space="preserve">1. ГБУЗ "МАГАДАНСКАЯ ОБЛАСТНАЯ БОЛЬНИЦА" </t>
  </si>
  <si>
    <t>5. ООО "ЭКО-ЦЕНТР"</t>
  </si>
  <si>
    <t>Диспансеризация, всего</t>
  </si>
  <si>
    <t>Профилактические осмотры, всего</t>
  </si>
  <si>
    <t>углубленная диспансеризация</t>
  </si>
  <si>
    <t>МОГБУЗ "Городская поликлиника "</t>
  </si>
  <si>
    <t>ГБУЗ "Магаданская областная больница", всего</t>
  </si>
  <si>
    <t>в том числе, в разрезе филиалов:</t>
  </si>
  <si>
    <t>Филиал "Ольская районная больница" ГБУЗ "МОБ"</t>
  </si>
  <si>
    <t>Филиал "Омсукчанская районная больница" ГБУЗ "МОБ"</t>
  </si>
  <si>
    <t>Филиал "Среднеканская районная больница" ГБУЗ "МОБ"</t>
  </si>
  <si>
    <t>Филиал "Сусуманская районная больница" ГБУЗ "МОБ"</t>
  </si>
  <si>
    <t>Филиал "Северо-Эвенская районная больница" ГБУЗ "МОБ"</t>
  </si>
  <si>
    <t>Филиал "Тенькинская районная больница" ГБУЗ "МОБ"</t>
  </si>
  <si>
    <t>Филиал "Хасынская районная больница" ГБУЗ "МОБ"</t>
  </si>
  <si>
    <t>Филиал "Ягоднинская районная больница" ГБУЗ "МОБ"</t>
  </si>
  <si>
    <t>Диспансеризация детей сирот, оставшихся без попечения родителей, в т.ч. усыновленных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</si>
  <si>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</si>
  <si>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</si>
  <si>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</si>
  <si>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</si>
  <si>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</si>
  <si>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</si>
  <si>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</si>
  <si>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</si>
  <si>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</si>
  <si>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</si>
  <si>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</si>
  <si>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</si>
  <si>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</si>
  <si>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</si>
  <si>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</si>
  <si>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</si>
  <si>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</si>
  <si>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</si>
  <si>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ООО "МИР"</t>
  </si>
  <si>
    <t>21</t>
  </si>
  <si>
    <t xml:space="preserve">Дерматология </t>
  </si>
  <si>
    <t>Онкологический диспансер</t>
  </si>
  <si>
    <t>Итого:</t>
  </si>
  <si>
    <t>в т.ч. онкогематология</t>
  </si>
  <si>
    <t>Медицинская реабилитация (дети)</t>
  </si>
  <si>
    <t xml:space="preserve">               5. ООО "МИР" г.Магадан</t>
  </si>
  <si>
    <t>Таблица 6</t>
  </si>
  <si>
    <t>Таблица 4</t>
  </si>
  <si>
    <t>Таблица 3</t>
  </si>
  <si>
    <t>Таблица 2</t>
  </si>
  <si>
    <t>Таблица 1</t>
  </si>
  <si>
    <t>2. МЕДИЦИНСКАЯ ПОМОЩЬ В УСЛОВИЯХ КРУГЛОСУТОЧНОГО СТАЦИОНАРА,  В ТОМ ЧИСЛЕ ВЫСОКОТЕХНОЛОГИЧНАЯ МЕДИЦИНСКАЯ ПОМОЩЬ</t>
  </si>
  <si>
    <t xml:space="preserve">1. АМБУЛАТОРНАЯ МЕДИЦИНСКАЯ ПОМОЩЬ </t>
  </si>
  <si>
    <t xml:space="preserve">3. МЕДИЦИНСКАЯ ПОМОЩЬ В УСЛОВИЯХ  ДНЕВНЫХ СТАЦИОНАРОВ </t>
  </si>
  <si>
    <r>
      <t xml:space="preserve">             </t>
    </r>
    <r>
      <rPr>
        <b/>
        <sz val="11"/>
        <color indexed="8"/>
        <rFont val="Times New Roman"/>
        <family val="1"/>
      </rPr>
      <t xml:space="preserve">ИНФОРМАЦИЯ           </t>
    </r>
  </si>
  <si>
    <t>Наименование МО</t>
  </si>
  <si>
    <t>тыс. рублей</t>
  </si>
  <si>
    <t>ВСЕГО ЗА СЧЁТ ФЕДЕРАЛЬНЫХ СРЕДСТВ:</t>
  </si>
  <si>
    <t xml:space="preserve"> о дополнительном финансовом обеспечении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территориальной программы обязательного медицинского страхования</t>
  </si>
  <si>
    <t>В РАМКАХ РЕАЛИЗАЦИИ РАСПОРЯЖЕНИЙ ПРАВИТЕЛЬСТВА РОССИЙСКОЙ ФЕДЕРАЦИИ:</t>
  </si>
  <si>
    <t>ВСЕГО МО НА ТЕРРИТОИИ МАГДАНСКОЙ ОБЛАСТИ, из них:</t>
  </si>
  <si>
    <t>5. ООО "ДАНТИСТ XXI ВЕК"</t>
  </si>
  <si>
    <t>из них, высокотехнологичная медицинская помощь:</t>
  </si>
  <si>
    <t>Радиологические</t>
  </si>
  <si>
    <t>Реконструктивно-пластические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техники, а также замещением мягкотканных и костных хрящевых дефектов синтетическими и биологическими материалами</t>
  </si>
  <si>
    <t>Реконструктивно-пластические операции на костях таза, верхних и нижних конечностях с использованием погружных или наружных фиксирующих устройств, синтетических и биологических остеозамещающих материалов, компьютерной навигации</t>
  </si>
  <si>
    <t>Эндопротезирование суставов конечностей при выраженных деформациях, дисплазии, анкилозах, неправильно сросшихся и несросшихся переломах области сустава, посттравматических вывихах и подвывихах, остеопорозе и системных заболеваниях, в том числе с использованием компьютерной навигации</t>
  </si>
  <si>
    <t>Травматология и ортопедия (Травматологические)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</si>
  <si>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</si>
  <si>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</si>
  <si>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</si>
  <si>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</si>
  <si>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</si>
  <si>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</si>
  <si>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</si>
  <si>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</si>
  <si>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</si>
  <si>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</si>
  <si>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</si>
  <si>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</si>
  <si>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</si>
  <si>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</si>
  <si>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Маммография</t>
  </si>
  <si>
    <t>ГБУЗ "МОДФиИЗ"</t>
  </si>
  <si>
    <t>ГАУ РС (Я) "ЯРОКБ"</t>
  </si>
  <si>
    <t>ГБУЗ "МОДФ и ИЗ"</t>
  </si>
  <si>
    <t>Исследование уровня тиреотропного гормона (ТТГ) в крови</t>
  </si>
  <si>
    <t>Исследование уровня свободного тироксина (СТ4) сыворотки крови</t>
  </si>
  <si>
    <t>Исследование уровня свободного трийодтиронина (СТ3) в крови</t>
  </si>
  <si>
    <t>Определение содержания антител к тиреопероксидазе в крови (anti-ТПО)</t>
  </si>
  <si>
    <t>Исследование уровня простатспецифического антигена общего в крови (ПСА общий)</t>
  </si>
  <si>
    <t>Исследование уровня антигена аденогенных раков CA 125 в крови</t>
  </si>
  <si>
    <t>Исследование уровня пролактина в крови</t>
  </si>
  <si>
    <t>Исследование уровня лютеинизирующего гормона в сыворотке крови (ЛГ)</t>
  </si>
  <si>
    <t xml:space="preserve">Исследование уровня фолликулостимулирующего гормона в сыворотке крови (ФСГ) </t>
  </si>
  <si>
    <t>Исследование уровня общего иммуноглобулина E в крови (IgE)</t>
  </si>
  <si>
    <t>Определение содержания антител к рецептору тиреотропного гормона (ТТГ) в крови</t>
  </si>
  <si>
    <t>Исследование уровня простатспецифического антигена свободного в крови (ПСА св.)</t>
  </si>
  <si>
    <t>Исследование уровня кальцитонина в крови</t>
  </si>
  <si>
    <t>Исследование уровня кортизола в крови</t>
  </si>
  <si>
    <t>10.1</t>
  </si>
  <si>
    <t>10.2</t>
  </si>
  <si>
    <t>Рентгеноденситометрия</t>
  </si>
  <si>
    <t>ИТОГО медицинская помощь на территории страхования</t>
  </si>
  <si>
    <t>ВСЕГО ТПОМС:</t>
  </si>
  <si>
    <t>Медицинская помощь за пределами территории страхования (МТР)</t>
  </si>
  <si>
    <t>разница 408,9 пошла на ведение дела</t>
  </si>
  <si>
    <t>Код койки (v020)</t>
  </si>
  <si>
    <t>Оториноларингологические</t>
  </si>
  <si>
    <t xml:space="preserve">Информация о распределении объема финансового обеспечения медицинской помощи, оказываемой медицинскими организациями, осуществляющими деятельность в сфере обязательного медицинского страхования Магаданской области в 2023 году </t>
  </si>
  <si>
    <t xml:space="preserve"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t>
  </si>
  <si>
    <t>Детская урология-адрология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</si>
  <si>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1 стента в сосуд (сосуды)</t>
  </si>
  <si>
    <t>Эндоваскулярная, хирургическая коррекция нарушений ритма сердца без имплантации кардиовертера-дефибриллятора у взрослых (имплантация частотно-адаптированного однокамерного кардиостимулятора)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</si>
  <si>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3 стентов (баллонная вазодилатация с установкой 3 стентов в сосуд (сосуды))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</si>
  <si>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2 стентов (баллонная вазодилатация с установкой 2 стентов в сосуд (сосуды))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</si>
  <si>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1 стента (ишемическая болезнь сердца со стенозированием 1 коронарной артерии)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</si>
  <si>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3 стентов в сосуд (сосуды)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</si>
  <si>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2 стентов в сосуд (сосуды)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</si>
  <si>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1 стента в сосуд (сосуды)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</si>
  <si>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3 стентов в сосуд (сосуды)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</si>
  <si>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2 стентов в сосуд (сосуды)</t>
  </si>
  <si>
    <t xml:space="preserve"> Пластика крупных суставов конечностей с восстановлением целостности внутрисуставных образований, замещением костно-хрящевых дефектов синтетическими и биологическими материалами</t>
  </si>
  <si>
    <t>7. ООО "Приморский центр микрохирургии глаза"</t>
  </si>
  <si>
    <t>5. Объём медицинской помощи, предусмотренный на лечение граждан застрахованных на территории Магаданской области в других субъектах Российской Федерации (МТР)</t>
  </si>
  <si>
    <t xml:space="preserve">6. ООО "Центр инновационной эмбриологии и репродуктологии "ЭМБРИЛАЙФ" </t>
  </si>
  <si>
    <t xml:space="preserve"> - диспансерное наблюдение</t>
  </si>
  <si>
    <t>Медицинская реабилитация (соматические)</t>
  </si>
  <si>
    <t>Медицинская реабилитация (Реабилитационные для больных с заболеваниями опорно-двигательного аппарата периферической нервной системы)</t>
  </si>
  <si>
    <t>Реабилитационные для больных с заболеваниями ЦНС и органов чувств</t>
  </si>
  <si>
    <t>Реабилитационные соматические</t>
  </si>
  <si>
    <t>Педиатрия, всего, из них:</t>
  </si>
  <si>
    <t>Терапия, всего, из них:</t>
  </si>
  <si>
    <t xml:space="preserve">             углубленная диспансеризация</t>
  </si>
  <si>
    <t xml:space="preserve"> - диспансеризация определенных групп взрослого населения, всего, из них: </t>
  </si>
  <si>
    <t>из них,                                                                                               1) профилактические мероприятия (комплексные посещения), в том числе:</t>
  </si>
  <si>
    <t>2) диспансерное наблюдение (комплексные посещения)</t>
  </si>
  <si>
    <t>Специализация</t>
  </si>
  <si>
    <t>обособленное структурное подразделение "Онкологический дисп-р" ГБУЗ  "МОБ"</t>
  </si>
  <si>
    <t>филиал  "Ольская РБ" ГБУЗ "МОБ"</t>
  </si>
  <si>
    <t>филиал "Омсукчанская ГБУЗ "МОБ"</t>
  </si>
  <si>
    <t>филиал "Северо-Эвенская РБ" ГБУЗ "МОБ"</t>
  </si>
  <si>
    <t>филиал "Среднеканская РБ" ГБУЗ "МОБ"</t>
  </si>
  <si>
    <t>филиал "Сусуманская РБ" ГБУЗ "МОБ"</t>
  </si>
  <si>
    <t xml:space="preserve"> филиал "Тенькинская РБ" ГБУЗ "МОБ"</t>
  </si>
  <si>
    <t>филиал "Хасынская РБ" ГБУЗ "МОБ"</t>
  </si>
  <si>
    <t>филиал "Ягоднинская РБ" ГБУЗ "МОБ"</t>
  </si>
  <si>
    <t xml:space="preserve">ОГБУЗ "Магаданский родильный дом " </t>
  </si>
  <si>
    <t>Итого</t>
  </si>
  <si>
    <t xml:space="preserve">ГБУЗ "Магаданская областная детская больница" </t>
  </si>
  <si>
    <t xml:space="preserve">ГБУЗ "Магаданская областная больница" </t>
  </si>
  <si>
    <t>Таблица 10</t>
  </si>
  <si>
    <t>Таблица 1.1.</t>
  </si>
  <si>
    <t>Таблица 1.2.</t>
  </si>
  <si>
    <t>Таблица 1.3.</t>
  </si>
  <si>
    <t>1.3.  ОБЪЁМЫ НА САМОСТОЯТЕЛЬНЫЕ ДИАГНОСТИЧЕСКИЕ УСЛУГИ И ЛАБОРАТОРНЫЕ ИССЛЕДОВАНИЯ, ОКАЗЫВАЕМЫХ В АМБУЛАТОРНЫХ УСЛОВИЯХ В СВЯЗИ С ЗАБОЛЕВАНИЯМИ</t>
  </si>
  <si>
    <t>1.2. ДИСПАНСЕРНОЕ НАБЛЮДЕНИЕ</t>
  </si>
  <si>
    <t>1.1. ОБЪЁМЫ ПО ПРОФИЛАКТИЧЕСКИМ МЕРОПРИЯТИЯМ</t>
  </si>
  <si>
    <t>Таблица 5</t>
  </si>
  <si>
    <t>Акушерство и гинекология, всего, из них:</t>
  </si>
  <si>
    <t>Дерматология, всего, из них:</t>
  </si>
  <si>
    <t>Инфекционные болезни, всего, из них:</t>
  </si>
  <si>
    <t>Кардиология, всего, из них:</t>
  </si>
  <si>
    <t>Неврология, всего, из них:</t>
  </si>
  <si>
    <t>Онкология, всего, из них:</t>
  </si>
  <si>
    <t>Отоларингология, всего, из них:</t>
  </si>
  <si>
    <t>Офтальмология, всего, из них:</t>
  </si>
  <si>
    <t>Травматология и ортопедия, всего, из них:</t>
  </si>
  <si>
    <t>Урология, всего, из них:</t>
  </si>
  <si>
    <t xml:space="preserve">Хирургия, всего, из них:  </t>
  </si>
  <si>
    <t>1) профилактические мероприятия (комплексные посещения), всего, в том числе:</t>
  </si>
  <si>
    <t>2) диспансерное наблюдение</t>
  </si>
  <si>
    <t>Инфекционные заболевания, всего, из них:</t>
  </si>
  <si>
    <t>Травматология-ортопедия, всего, из них:</t>
  </si>
  <si>
    <t>Хирургия, всего, из них:</t>
  </si>
  <si>
    <t>Эндокринология, всего, из них:</t>
  </si>
  <si>
    <t>2. ГБУЗ "МАГАДАНСКАЯ ОБЛАСТНАЯ ДЕТСКАЯ  БОЛЬНИЦА"</t>
  </si>
  <si>
    <t>3. ОГБУЗ "МАГАДАНСКИЙ РОДИЛЬНЫЙ ДОМ" (ЖЕНСКАЯ КОНСУЛЬТАЦИЯ)</t>
  </si>
  <si>
    <t xml:space="preserve">4. МОГБУЗ "ГОРОДСКАЯ ПОЛИКЛИНИКА" </t>
  </si>
  <si>
    <t>5. ООО "ВИТА"</t>
  </si>
  <si>
    <t>6. ООО "ВИТА-ДЕНТ"</t>
  </si>
  <si>
    <t>7. ООО "ДАНТИСТ"</t>
  </si>
  <si>
    <t>8. ООО "ДАНТИСТ-ПЛЮС"</t>
  </si>
  <si>
    <t>9. ООО "ДАНТИСТ XXI ВЕК"</t>
  </si>
  <si>
    <t>10. ООО ""СТОМАТОЛОГИЧЕСКИЙ КАБИНЕТ "ДОВЕРИЕ"</t>
  </si>
  <si>
    <t>11. ООО "МОЙ ДОКТОР"</t>
  </si>
  <si>
    <t>12.  ООО "МИР"</t>
  </si>
  <si>
    <t>13.  ООО "Приморский центр микрохирургии глаза"</t>
  </si>
  <si>
    <t>14. Объём медицинской помощи, предусмотренный на лечениеграждан застрахованных на территории Магаданской области в других субъектах Российской Федерации (МТР)</t>
  </si>
  <si>
    <t>ВСЕГО ГБУЗ "МОБ", в т.ч.:</t>
  </si>
  <si>
    <t>ИТОГО ГБУЗ "МОДБ", в т.ч.:</t>
  </si>
  <si>
    <t>ИТОГО ОГБУЗ "Магаданский родильный дом", в т.ч.:</t>
  </si>
  <si>
    <t>ИТОГО МОГБУЗ "Городская поликлиника", в т.ч.:</t>
  </si>
  <si>
    <t xml:space="preserve"> - диспансерное наблюдение (комплексные посещения)</t>
  </si>
  <si>
    <t>центр дерматологии ГБУЗ  "МОБ"</t>
  </si>
  <si>
    <t>ООО "ВитаЛаб"</t>
  </si>
  <si>
    <t>5.7</t>
  </si>
  <si>
    <t>5.8</t>
  </si>
  <si>
    <t>5.9</t>
  </si>
  <si>
    <t>молекулярно-генетическое исследование мутаций в гене BRAF</t>
  </si>
  <si>
    <t>молекулярно-генетическое исследование мутаций в гене EGFR</t>
  </si>
  <si>
    <t>молекулярно-генетическое исследование мутаций в гене KRAS</t>
  </si>
  <si>
    <t>молекулярно-генетическое исследование мутаций в гене NRAS</t>
  </si>
  <si>
    <t>FISH HER2</t>
  </si>
  <si>
    <t>молекулярно-генетическое исследование мутаций в гене BRCA 1/BRCA 2</t>
  </si>
  <si>
    <t>выполненные с применением метода секвенирования нового поколения NGS BRCA 1/BRCA 2</t>
  </si>
  <si>
    <t>определение микросателлитной нестабильности MSI</t>
  </si>
  <si>
    <t>молекулярно-генетическое исследование гена ALK методом флюоресцентной гибридизации in situ (FISH)</t>
  </si>
  <si>
    <t>5.10</t>
  </si>
  <si>
    <t>5.11</t>
  </si>
  <si>
    <t>определение амплификации гена ERBB2 (HER2/Neu) методом флюоресцентной гибридизации in situ (FISH)</t>
  </si>
  <si>
    <t>Травматология-ортопедия</t>
  </si>
  <si>
    <t>Детская онкология</t>
  </si>
  <si>
    <t>Изменения на основании решений Комиссии по разработке ТПОМС</t>
  </si>
  <si>
    <t>ООО "Приморский центр микрохирургии глаза"</t>
  </si>
  <si>
    <t>22</t>
  </si>
  <si>
    <t>Объем финансового обеспечения на 2023 год                          (до изменений)</t>
  </si>
  <si>
    <t>Объем финансового обеспечения на 2023 год с учётом изменений</t>
  </si>
  <si>
    <t>Ультразвуковое исследование сердечно-сосудистой системы:</t>
  </si>
  <si>
    <t>Ультразвуковые исследования (прочие):</t>
  </si>
  <si>
    <t>Рентгенологические исследования:</t>
  </si>
  <si>
    <t>Молекулярно-генетическое исследование с целью выявления онкологических заболеваний:</t>
  </si>
  <si>
    <t>по факт. исполнению</t>
  </si>
  <si>
    <t xml:space="preserve">ООО "Центр инновационной эмбриологии и репродуктологии "ЭМБРИЛАЙФ" </t>
  </si>
  <si>
    <t>Эндоваскулярная, хирургическая коррекция нарушений ритма сердца без имплантации кардиовертера-дефибриллятора</t>
  </si>
  <si>
    <t>ООО "Виталаб"</t>
  </si>
  <si>
    <t>МОГБУЗ «ССМП», в том числе:</t>
  </si>
  <si>
    <t xml:space="preserve"> - с применением тромболизиса</t>
  </si>
  <si>
    <t xml:space="preserve">1. </t>
  </si>
  <si>
    <t>2.</t>
  </si>
  <si>
    <t>3.</t>
  </si>
  <si>
    <t>Акушер-гинеколог</t>
  </si>
  <si>
    <t>Аллерголог-иммунолог</t>
  </si>
  <si>
    <t>Гастроэнтеролог</t>
  </si>
  <si>
    <t>Гематолог</t>
  </si>
  <si>
    <t>Гериатр</t>
  </si>
  <si>
    <t>Дерматолог</t>
  </si>
  <si>
    <t>Инфекционист</t>
  </si>
  <si>
    <t>Кардиолог</t>
  </si>
  <si>
    <t>Колопроктолог</t>
  </si>
  <si>
    <t>Невролог</t>
  </si>
  <si>
    <t>Нейрохирург</t>
  </si>
  <si>
    <t>Нефролог</t>
  </si>
  <si>
    <t>Онколог</t>
  </si>
  <si>
    <t>Отоларинголог</t>
  </si>
  <si>
    <t>Офтальмолог</t>
  </si>
  <si>
    <t>Педиатр</t>
  </si>
  <si>
    <t>Пульмонолог</t>
  </si>
  <si>
    <t>Ревматолог</t>
  </si>
  <si>
    <t>Сосудистый хирург</t>
  </si>
  <si>
    <t>Терапевт-участковый</t>
  </si>
  <si>
    <t>Травматолог-ортопед</t>
  </si>
  <si>
    <t>Уролог</t>
  </si>
  <si>
    <t>Хирург</t>
  </si>
  <si>
    <t>Челюстно-лицевой хирург</t>
  </si>
  <si>
    <t>Эндокринолог</t>
  </si>
  <si>
    <t>Офтольмология</t>
  </si>
  <si>
    <t>Медицинскяа реабилитация</t>
  </si>
  <si>
    <t>Средний персонал</t>
  </si>
  <si>
    <t>ВСЕГО ПОСЕЩЕНИЙ:</t>
  </si>
  <si>
    <t>ТПОМС от 22.02.2023 года № 03-02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</si>
</sst>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* #,##0.0_);_(* \(#,##0.0\);_(* &quot;-&quot;??_);_(@_)"/>
    <numFmt numFmtId="197" formatCode="0.00000"/>
    <numFmt numFmtId="198" formatCode="0_ ;[Red]\-0\ "/>
    <numFmt numFmtId="199" formatCode="#,##0.000"/>
    <numFmt numFmtId="200" formatCode="#,##0.0000"/>
    <numFmt numFmtId="201" formatCode="#,##0_ ;[Red]\-#,##0\ "/>
    <numFmt numFmtId="202" formatCode="\M\o\n\t\h\ \D.\y\y\y\y"/>
    <numFmt numFmtId="203" formatCode="#,##0.0;[Red]\-#,##0.0;&quot;...&quot;"/>
    <numFmt numFmtId="204" formatCode="#,##0;[Red]\-#,##0;&quot;...&quot;"/>
    <numFmt numFmtId="205" formatCode="#,##0.00000"/>
    <numFmt numFmtId="206" formatCode="#,##0.000000"/>
    <numFmt numFmtId="207" formatCode="#,##0.0000000"/>
    <numFmt numFmtId="208" formatCode="0.0%"/>
    <numFmt numFmtId="209" formatCode="#,##0.00_ ;[Red]\-#,##0.00\ "/>
    <numFmt numFmtId="210" formatCode="0.0&quot;*&quot;"/>
    <numFmt numFmtId="211" formatCode="0.0&quot;**&quot;"/>
    <numFmt numFmtId="212" formatCode="0.0&quot;***&quot;"/>
    <numFmt numFmtId="213" formatCode="0.0&quot;*****&quot;"/>
    <numFmt numFmtId="214" formatCode="[$-FC19]d\ mmmm\ yyyy\ &quot;г.&quot;"/>
    <numFmt numFmtId="215" formatCode="0.00000000"/>
    <numFmt numFmtId="216" formatCode="0.0000000"/>
    <numFmt numFmtId="217" formatCode="0.000000"/>
  </numFmts>
  <fonts count="16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color indexed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color indexed="60"/>
      <name val="Times New Roman"/>
      <family val="1"/>
    </font>
    <font>
      <b/>
      <i/>
      <sz val="12"/>
      <name val="Times New Roman"/>
      <family val="1"/>
    </font>
    <font>
      <sz val="10"/>
      <name val="Courier New Cyr"/>
      <family val="0"/>
    </font>
    <font>
      <sz val="8"/>
      <name val="Arial"/>
      <family val="2"/>
    </font>
    <font>
      <sz val="11"/>
      <color indexed="6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b/>
      <sz val="18"/>
      <color indexed="49"/>
      <name val="Cambria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Calibri"/>
      <family val="2"/>
    </font>
    <font>
      <sz val="10"/>
      <color indexed="8"/>
      <name val="Arial Cyr"/>
      <family val="2"/>
    </font>
    <font>
      <sz val="10"/>
      <color indexed="22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22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name val="Arial"/>
      <family val="2"/>
    </font>
    <font>
      <i/>
      <sz val="12"/>
      <color indexed="12"/>
      <name val="Arial"/>
      <family val="2"/>
    </font>
    <font>
      <i/>
      <sz val="12"/>
      <name val="Arial"/>
      <family val="2"/>
    </font>
    <font>
      <b/>
      <i/>
      <sz val="12"/>
      <color indexed="6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i/>
      <sz val="11"/>
      <name val="Arial"/>
      <family val="2"/>
    </font>
    <font>
      <i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sz val="9"/>
      <color indexed="8"/>
      <name val="Calibri"/>
      <family val="2"/>
    </font>
    <font>
      <u val="single"/>
      <sz val="10"/>
      <color indexed="20"/>
      <name val="Arial"/>
      <family val="2"/>
    </font>
    <font>
      <i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6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60"/>
      <name val="Arial"/>
      <family val="2"/>
    </font>
    <font>
      <i/>
      <sz val="12"/>
      <color indexed="12"/>
      <name val="Times New Roman"/>
      <family val="1"/>
    </font>
    <font>
      <sz val="12"/>
      <color indexed="60"/>
      <name val="Times New Roman"/>
      <family val="1"/>
    </font>
    <font>
      <b/>
      <i/>
      <sz val="11"/>
      <color indexed="60"/>
      <name val="Times New Roman"/>
      <family val="1"/>
    </font>
    <font>
      <i/>
      <sz val="11"/>
      <color indexed="60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1"/>
      <color indexed="60"/>
      <name val="Times New Roman"/>
      <family val="1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9"/>
      <name val="Times New Roman"/>
      <family val="1"/>
    </font>
    <font>
      <b/>
      <sz val="10"/>
      <color indexed="12"/>
      <name val="Times New Roman"/>
      <family val="1"/>
    </font>
    <font>
      <b/>
      <sz val="13"/>
      <color indexed="12"/>
      <name val="Times New Roman"/>
      <family val="1"/>
    </font>
    <font>
      <b/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rgb="FF0000FF"/>
      <name val="Times New Roman"/>
      <family val="1"/>
    </font>
    <font>
      <i/>
      <sz val="11"/>
      <color rgb="FF0000FF"/>
      <name val="Times New Roman"/>
      <family val="1"/>
    </font>
    <font>
      <b/>
      <i/>
      <sz val="11"/>
      <color rgb="FF0000FF"/>
      <name val="Times New Roman"/>
      <family val="1"/>
    </font>
    <font>
      <sz val="11"/>
      <color rgb="FF0000FF"/>
      <name val="Times New Roman"/>
      <family val="1"/>
    </font>
    <font>
      <b/>
      <sz val="11"/>
      <color rgb="FF0000FF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C0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C00000"/>
      <name val="Arial"/>
      <family val="2"/>
    </font>
    <font>
      <b/>
      <sz val="12"/>
      <color rgb="FF0000FF"/>
      <name val="Times New Roman"/>
      <family val="1"/>
    </font>
    <font>
      <i/>
      <sz val="12"/>
      <color rgb="FF0000FF"/>
      <name val="Times New Roman"/>
      <family val="1"/>
    </font>
    <font>
      <sz val="12"/>
      <color rgb="FFC00000"/>
      <name val="Times New Roman"/>
      <family val="1"/>
    </font>
    <font>
      <b/>
      <i/>
      <sz val="11"/>
      <color rgb="FFC00000"/>
      <name val="Times New Roman"/>
      <family val="1"/>
    </font>
    <font>
      <i/>
      <sz val="11"/>
      <color rgb="FFC00000"/>
      <name val="Times New Roman"/>
      <family val="1"/>
    </font>
    <font>
      <sz val="9"/>
      <color rgb="FF0000FF"/>
      <name val="Times New Roman"/>
      <family val="1"/>
    </font>
    <font>
      <b/>
      <sz val="9"/>
      <color rgb="FF0000FF"/>
      <name val="Times New Roman"/>
      <family val="1"/>
    </font>
    <font>
      <b/>
      <sz val="11"/>
      <color rgb="FFC00000"/>
      <name val="Times New Roman"/>
      <family val="1"/>
    </font>
    <font>
      <i/>
      <sz val="10"/>
      <color rgb="FF0000FF"/>
      <name val="Times New Roman"/>
      <family val="1"/>
    </font>
    <font>
      <sz val="10"/>
      <color rgb="FF0000FF"/>
      <name val="Times New Roman"/>
      <family val="1"/>
    </font>
    <font>
      <sz val="12"/>
      <color rgb="FF0000FF"/>
      <name val="Times New Roman"/>
      <family val="1"/>
    </font>
    <font>
      <sz val="11"/>
      <color theme="0"/>
      <name val="Times New Roman"/>
      <family val="1"/>
    </font>
    <font>
      <b/>
      <sz val="10"/>
      <color rgb="FF0000FF"/>
      <name val="Times New Roman"/>
      <family val="1"/>
    </font>
    <font>
      <b/>
      <sz val="13"/>
      <color rgb="FF0000FF"/>
      <name val="Times New Roman"/>
      <family val="1"/>
    </font>
    <font>
      <b/>
      <sz val="9"/>
      <color theme="1"/>
      <name val="Times New Roman"/>
      <family val="1"/>
    </font>
    <font>
      <b/>
      <sz val="8"/>
      <name val="Arial"/>
      <family val="2"/>
    </font>
  </fonts>
  <fills count="62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30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3" borderId="0" applyNumberFormat="0" applyBorder="0" applyAlignment="0" applyProtection="0"/>
    <xf numFmtId="0" fontId="113" fillId="3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3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47" fillId="11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47" fillId="11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5" borderId="0" applyNumberFormat="0" applyBorder="0" applyAlignment="0" applyProtection="0"/>
    <xf numFmtId="0" fontId="113" fillId="5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5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47" fillId="9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47" fillId="9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6" borderId="0" applyNumberFormat="0" applyBorder="0" applyAlignment="0" applyProtection="0"/>
    <xf numFmtId="0" fontId="113" fillId="6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6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47" fillId="14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47" fillId="14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7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47" fillId="11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47" fillId="11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47" fillId="8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47" fillId="8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47" fillId="9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47" fillId="9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9" borderId="0" applyNumberFormat="0" applyBorder="0" applyAlignment="0" applyProtection="0"/>
    <xf numFmtId="0" fontId="15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47" fillId="22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47" fillId="22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47" fillId="20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47" fillId="20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1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47" fillId="27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47" fillId="27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47" fillId="22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47" fillId="22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47" fillId="1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47" fillId="1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47" fillId="9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47" fillId="9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38" fillId="18" borderId="0" applyNumberFormat="0" applyBorder="0" applyAlignment="0" applyProtection="0"/>
    <xf numFmtId="0" fontId="16" fillId="31" borderId="0" applyNumberFormat="0" applyBorder="0" applyAlignment="0" applyProtection="0"/>
    <xf numFmtId="0" fontId="38" fillId="4" borderId="0" applyNumberFormat="0" applyBorder="0" applyAlignment="0" applyProtection="0"/>
    <xf numFmtId="0" fontId="16" fillId="20" borderId="0" applyNumberFormat="0" applyBorder="0" applyAlignment="0" applyProtection="0"/>
    <xf numFmtId="0" fontId="38" fillId="4" borderId="0" applyNumberFormat="0" applyBorder="0" applyAlignment="0" applyProtection="0"/>
    <xf numFmtId="0" fontId="16" fillId="21" borderId="0" applyNumberFormat="0" applyBorder="0" applyAlignment="0" applyProtection="0"/>
    <xf numFmtId="0" fontId="38" fillId="22" borderId="0" applyNumberFormat="0" applyBorder="0" applyAlignment="0" applyProtection="0"/>
    <xf numFmtId="0" fontId="16" fillId="32" borderId="0" applyNumberFormat="0" applyBorder="0" applyAlignment="0" applyProtection="0"/>
    <xf numFmtId="0" fontId="38" fillId="18" borderId="0" applyNumberFormat="0" applyBorder="0" applyAlignment="0" applyProtection="0"/>
    <xf numFmtId="0" fontId="16" fillId="33" borderId="0" applyNumberFormat="0" applyBorder="0" applyAlignment="0" applyProtection="0"/>
    <xf numFmtId="0" fontId="38" fillId="9" borderId="0" applyNumberFormat="0" applyBorder="0" applyAlignment="0" applyProtection="0"/>
    <xf numFmtId="0" fontId="16" fillId="34" borderId="0" applyNumberFormat="0" applyBorder="0" applyAlignment="0" applyProtection="0"/>
    <xf numFmtId="0" fontId="114" fillId="35" borderId="0" applyNumberFormat="0" applyBorder="0" applyAlignment="0" applyProtection="0"/>
    <xf numFmtId="0" fontId="114" fillId="35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14" fillId="37" borderId="0" applyNumberFormat="0" applyBorder="0" applyAlignment="0" applyProtection="0"/>
    <xf numFmtId="0" fontId="114" fillId="37" borderId="0" applyNumberFormat="0" applyBorder="0" applyAlignment="0" applyProtection="0"/>
    <xf numFmtId="0" fontId="114" fillId="37" borderId="0" applyNumberFormat="0" applyBorder="0" applyAlignment="0" applyProtection="0"/>
    <xf numFmtId="0" fontId="114" fillId="21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14" fillId="38" borderId="0" applyNumberFormat="0" applyBorder="0" applyAlignment="0" applyProtection="0"/>
    <xf numFmtId="0" fontId="114" fillId="38" borderId="0" applyNumberFormat="0" applyBorder="0" applyAlignment="0" applyProtection="0"/>
    <xf numFmtId="0" fontId="114" fillId="38" borderId="0" applyNumberFormat="0" applyBorder="0" applyAlignment="0" applyProtection="0"/>
    <xf numFmtId="0" fontId="114" fillId="3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14" fillId="39" borderId="0" applyNumberFormat="0" applyBorder="0" applyAlignment="0" applyProtection="0"/>
    <xf numFmtId="0" fontId="114" fillId="39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14" fillId="40" borderId="0" applyNumberFormat="0" applyBorder="0" applyAlignment="0" applyProtection="0"/>
    <xf numFmtId="0" fontId="114" fillId="40" borderId="0" applyNumberFormat="0" applyBorder="0" applyAlignment="0" applyProtection="0"/>
    <xf numFmtId="0" fontId="114" fillId="40" borderId="0" applyNumberFormat="0" applyBorder="0" applyAlignment="0" applyProtection="0"/>
    <xf numFmtId="0" fontId="114" fillId="3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38" fillId="18" borderId="0" applyNumberFormat="0" applyBorder="0" applyAlignment="0" applyProtection="0"/>
    <xf numFmtId="0" fontId="16" fillId="4" borderId="0" applyNumberFormat="0" applyBorder="0" applyAlignment="0" applyProtection="0"/>
    <xf numFmtId="0" fontId="38" fillId="41" borderId="0" applyNumberFormat="0" applyBorder="0" applyAlignment="0" applyProtection="0"/>
    <xf numFmtId="0" fontId="16" fillId="41" borderId="0" applyNumberFormat="0" applyBorder="0" applyAlignment="0" applyProtection="0"/>
    <xf numFmtId="0" fontId="38" fillId="42" borderId="0" applyNumberFormat="0" applyBorder="0" applyAlignment="0" applyProtection="0"/>
    <xf numFmtId="0" fontId="16" fillId="42" borderId="0" applyNumberFormat="0" applyBorder="0" applyAlignment="0" applyProtection="0"/>
    <xf numFmtId="0" fontId="38" fillId="43" borderId="0" applyNumberFormat="0" applyBorder="0" applyAlignment="0" applyProtection="0"/>
    <xf numFmtId="0" fontId="16" fillId="32" borderId="0" applyNumberFormat="0" applyBorder="0" applyAlignment="0" applyProtection="0"/>
    <xf numFmtId="0" fontId="38" fillId="18" borderId="0" applyNumberFormat="0" applyBorder="0" applyAlignment="0" applyProtection="0"/>
    <xf numFmtId="0" fontId="16" fillId="33" borderId="0" applyNumberFormat="0" applyBorder="0" applyAlignment="0" applyProtection="0"/>
    <xf numFmtId="0" fontId="38" fillId="44" borderId="0" applyNumberFormat="0" applyBorder="0" applyAlignment="0" applyProtection="0"/>
    <xf numFmtId="0" fontId="16" fillId="44" borderId="0" applyNumberFormat="0" applyBorder="0" applyAlignment="0" applyProtection="0"/>
    <xf numFmtId="0" fontId="27" fillId="5" borderId="0" applyNumberFormat="0" applyBorder="0" applyAlignment="0" applyProtection="0"/>
    <xf numFmtId="0" fontId="19" fillId="2" borderId="1" applyNumberFormat="0" applyAlignment="0" applyProtection="0"/>
    <xf numFmtId="0" fontId="19" fillId="22" borderId="1" applyNumberFormat="0" applyAlignment="0" applyProtection="0"/>
    <xf numFmtId="0" fontId="18" fillId="45" borderId="2" applyNumberFormat="0" applyAlignment="0" applyProtection="0"/>
    <xf numFmtId="0" fontId="24" fillId="45" borderId="3" applyNumberFormat="0" applyAlignment="0" applyProtection="0"/>
    <xf numFmtId="0" fontId="44" fillId="0" borderId="0">
      <alignment/>
      <protection locked="0"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44" fillId="0" borderId="0">
      <alignment/>
      <protection locked="0"/>
    </xf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202" fontId="44" fillId="0" borderId="0">
      <alignment/>
      <protection locked="0"/>
    </xf>
    <xf numFmtId="0" fontId="28" fillId="0" borderId="0" applyNumberFormat="0" applyFill="0" applyBorder="0" applyAlignment="0" applyProtection="0"/>
    <xf numFmtId="0" fontId="44" fillId="0" borderId="0">
      <alignment/>
      <protection locked="0"/>
    </xf>
    <xf numFmtId="0" fontId="31" fillId="6" borderId="0" applyNumberFormat="0" applyBorder="0" applyAlignment="0" applyProtection="0"/>
    <xf numFmtId="0" fontId="39" fillId="0" borderId="4" applyNumberFormat="0" applyFill="0" applyAlignment="0" applyProtection="0"/>
    <xf numFmtId="0" fontId="20" fillId="0" borderId="5" applyNumberFormat="0" applyFill="0" applyAlignment="0" applyProtection="0"/>
    <xf numFmtId="0" fontId="40" fillId="0" borderId="4" applyNumberFormat="0" applyFill="0" applyAlignment="0" applyProtection="0"/>
    <xf numFmtId="0" fontId="21" fillId="0" borderId="6" applyNumberFormat="0" applyFill="0" applyAlignment="0" applyProtection="0"/>
    <xf numFmtId="0" fontId="41" fillId="0" borderId="7" applyNumberFormat="0" applyFill="0" applyAlignment="0" applyProtection="0"/>
    <xf numFmtId="0" fontId="22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0">
      <alignment/>
      <protection locked="0"/>
    </xf>
    <xf numFmtId="0" fontId="45" fillId="0" borderId="0">
      <alignment/>
      <protection locked="0"/>
    </xf>
    <xf numFmtId="0" fontId="36" fillId="0" borderId="0">
      <alignment/>
      <protection/>
    </xf>
    <xf numFmtId="0" fontId="42" fillId="9" borderId="1" applyNumberFormat="0" applyAlignment="0" applyProtection="0"/>
    <xf numFmtId="0" fontId="17" fillId="9" borderId="1" applyNumberFormat="0" applyAlignment="0" applyProtection="0"/>
    <xf numFmtId="0" fontId="29" fillId="0" borderId="9" applyNumberFormat="0" applyFill="0" applyAlignment="0" applyProtection="0"/>
    <xf numFmtId="0" fontId="26" fillId="27" borderId="0" applyNumberFormat="0" applyBorder="0" applyAlignment="0" applyProtection="0"/>
    <xf numFmtId="0" fontId="8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8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14" borderId="10" applyNumberFormat="0" applyFont="0" applyAlignment="0" applyProtection="0"/>
    <xf numFmtId="0" fontId="8" fillId="14" borderId="10" applyNumberFormat="0" applyFont="0" applyAlignment="0" applyProtection="0"/>
    <xf numFmtId="0" fontId="24" fillId="2" borderId="11" applyNumberFormat="0" applyAlignment="0" applyProtection="0"/>
    <xf numFmtId="0" fontId="18" fillId="22" borderId="12" applyNumberFormat="0" applyAlignment="0" applyProtection="0"/>
    <xf numFmtId="0" fontId="4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44" fillId="0" borderId="14">
      <alignment/>
      <protection locked="0"/>
    </xf>
    <xf numFmtId="0" fontId="23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114" fillId="46" borderId="0" applyNumberFormat="0" applyBorder="0" applyAlignment="0" applyProtection="0"/>
    <xf numFmtId="0" fontId="114" fillId="46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14" fillId="47" borderId="0" applyNumberFormat="0" applyBorder="0" applyAlignment="0" applyProtection="0"/>
    <xf numFmtId="0" fontId="114" fillId="47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114" fillId="48" borderId="0" applyNumberFormat="0" applyBorder="0" applyAlignment="0" applyProtection="0"/>
    <xf numFmtId="0" fontId="114" fillId="48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14" fillId="50" borderId="0" applyNumberFormat="0" applyBorder="0" applyAlignment="0" applyProtection="0"/>
    <xf numFmtId="0" fontId="114" fillId="50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14" fillId="51" borderId="0" applyNumberFormat="0" applyBorder="0" applyAlignment="0" applyProtection="0"/>
    <xf numFmtId="0" fontId="114" fillId="51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15" fillId="52" borderId="16" applyNumberFormat="0" applyAlignment="0" applyProtection="0"/>
    <xf numFmtId="0" fontId="115" fillId="52" borderId="16" applyNumberFormat="0" applyAlignment="0" applyProtection="0"/>
    <xf numFmtId="0" fontId="49" fillId="9" borderId="1" applyNumberFormat="0" applyAlignment="0" applyProtection="0"/>
    <xf numFmtId="0" fontId="49" fillId="9" borderId="1" applyNumberFormat="0" applyAlignment="0" applyProtection="0"/>
    <xf numFmtId="0" fontId="116" fillId="53" borderId="17" applyNumberFormat="0" applyAlignment="0" applyProtection="0"/>
    <xf numFmtId="0" fontId="116" fillId="53" borderId="17" applyNumberFormat="0" applyAlignment="0" applyProtection="0"/>
    <xf numFmtId="0" fontId="50" fillId="11" borderId="12" applyNumberFormat="0" applyAlignment="0" applyProtection="0"/>
    <xf numFmtId="0" fontId="50" fillId="11" borderId="12" applyNumberFormat="0" applyAlignment="0" applyProtection="0"/>
    <xf numFmtId="0" fontId="117" fillId="53" borderId="16" applyNumberFormat="0" applyAlignment="0" applyProtection="0"/>
    <xf numFmtId="0" fontId="117" fillId="53" borderId="16" applyNumberFormat="0" applyAlignment="0" applyProtection="0"/>
    <xf numFmtId="0" fontId="51" fillId="11" borderId="1" applyNumberFormat="0" applyAlignment="0" applyProtection="0"/>
    <xf numFmtId="0" fontId="51" fillId="11" borderId="1" applyNumberFormat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64" fillId="0" borderId="0">
      <alignment horizontal="center" vertical="top" wrapText="1"/>
      <protection/>
    </xf>
    <xf numFmtId="0" fontId="119" fillId="0" borderId="18" applyNumberFormat="0" applyFill="0" applyAlignment="0" applyProtection="0"/>
    <xf numFmtId="0" fontId="119" fillId="0" borderId="18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120" fillId="0" borderId="20" applyNumberFormat="0" applyFill="0" applyAlignment="0" applyProtection="0"/>
    <xf numFmtId="0" fontId="120" fillId="0" borderId="20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121" fillId="0" borderId="21" applyNumberFormat="0" applyFill="0" applyAlignment="0" applyProtection="0"/>
    <xf numFmtId="0" fontId="121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2" fillId="0" borderId="23" applyNumberFormat="0" applyFill="0" applyAlignment="0" applyProtection="0"/>
    <xf numFmtId="0" fontId="122" fillId="0" borderId="23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123" fillId="54" borderId="25" applyNumberFormat="0" applyAlignment="0" applyProtection="0"/>
    <xf numFmtId="0" fontId="123" fillId="54" borderId="25" applyNumberFormat="0" applyAlignment="0" applyProtection="0"/>
    <xf numFmtId="0" fontId="56" fillId="45" borderId="3" applyNumberFormat="0" applyAlignment="0" applyProtection="0"/>
    <xf numFmtId="0" fontId="56" fillId="45" borderId="3" applyNumberFormat="0" applyAlignment="0" applyProtection="0"/>
    <xf numFmtId="203" fontId="65" fillId="0" borderId="0" applyFont="0">
      <alignment vertical="top"/>
      <protection/>
    </xf>
    <xf numFmtId="203" fontId="66" fillId="0" borderId="0" applyFont="0">
      <alignment vertical="top"/>
      <protection/>
    </xf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113" fillId="0" borderId="0">
      <alignment/>
      <protection/>
    </xf>
    <xf numFmtId="0" fontId="8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8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8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8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8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8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37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8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37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26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8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6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8" fillId="0" borderId="0">
      <alignment/>
      <protection/>
    </xf>
    <xf numFmtId="0" fontId="46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13" fillId="0" borderId="0">
      <alignment/>
      <protection/>
    </xf>
    <xf numFmtId="0" fontId="8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27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5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8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6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8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8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28" fillId="0" borderId="0" applyNumberFormat="0" applyFill="0" applyBorder="0" applyAlignment="0" applyProtection="0"/>
    <xf numFmtId="0" fontId="129" fillId="56" borderId="0" applyNumberFormat="0" applyBorder="0" applyAlignment="0" applyProtection="0"/>
    <xf numFmtId="0" fontId="129" fillId="56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47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47" fillId="14" borderId="10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3" fontId="65" fillId="0" borderId="0" applyFont="0">
      <alignment vertical="top"/>
      <protection/>
    </xf>
    <xf numFmtId="0" fontId="131" fillId="0" borderId="27" applyNumberFormat="0" applyFill="0" applyAlignment="0" applyProtection="0"/>
    <xf numFmtId="0" fontId="131" fillId="0" borderId="27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04" fontId="65" fillId="0" borderId="0" applyFont="0">
      <alignment vertical="top"/>
      <protection/>
    </xf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</cellStyleXfs>
  <cellXfs count="699">
    <xf numFmtId="0" fontId="0" fillId="0" borderId="0" xfId="0" applyAlignment="1">
      <alignment/>
    </xf>
    <xf numFmtId="0" fontId="2" fillId="11" borderId="28" xfId="0" applyFont="1" applyFill="1" applyBorder="1" applyAlignment="1">
      <alignment horizontal="center" vertical="center" wrapText="1"/>
    </xf>
    <xf numFmtId="0" fontId="2" fillId="11" borderId="28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29" xfId="0" applyFont="1" applyBorder="1" applyAlignment="1">
      <alignment vertical="center" wrapText="1"/>
    </xf>
    <xf numFmtId="0" fontId="2" fillId="11" borderId="29" xfId="0" applyFont="1" applyFill="1" applyBorder="1" applyAlignment="1">
      <alignment horizontal="center" vertical="center" wrapText="1"/>
    </xf>
    <xf numFmtId="0" fontId="2" fillId="11" borderId="29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3" fontId="1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2" fillId="11" borderId="30" xfId="0" applyFont="1" applyFill="1" applyBorder="1" applyAlignment="1">
      <alignment horizontal="center" vertical="center" wrapText="1"/>
    </xf>
    <xf numFmtId="0" fontId="2" fillId="11" borderId="31" xfId="0" applyFont="1" applyFill="1" applyBorder="1" applyAlignment="1">
      <alignment vertical="center" wrapText="1"/>
    </xf>
    <xf numFmtId="0" fontId="2" fillId="11" borderId="32" xfId="0" applyFont="1" applyFill="1" applyBorder="1" applyAlignment="1">
      <alignment horizontal="center" vertical="center" wrapText="1"/>
    </xf>
    <xf numFmtId="0" fontId="2" fillId="11" borderId="33" xfId="0" applyFont="1" applyFill="1" applyBorder="1" applyAlignment="1">
      <alignment vertical="center" wrapText="1"/>
    </xf>
    <xf numFmtId="0" fontId="2" fillId="11" borderId="34" xfId="0" applyFont="1" applyFill="1" applyBorder="1" applyAlignment="1">
      <alignment vertical="center" wrapText="1"/>
    </xf>
    <xf numFmtId="0" fontId="2" fillId="11" borderId="35" xfId="0" applyFont="1" applyFill="1" applyBorder="1" applyAlignment="1">
      <alignment vertical="center" wrapText="1"/>
    </xf>
    <xf numFmtId="0" fontId="2" fillId="11" borderId="36" xfId="0" applyFont="1" applyFill="1" applyBorder="1" applyAlignment="1">
      <alignment horizontal="center" vertical="center" wrapText="1"/>
    </xf>
    <xf numFmtId="0" fontId="2" fillId="11" borderId="37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vertical="center" wrapText="1"/>
    </xf>
    <xf numFmtId="0" fontId="33" fillId="11" borderId="39" xfId="0" applyFont="1" applyFill="1" applyBorder="1" applyAlignment="1">
      <alignment horizontal="center" vertical="center" wrapText="1"/>
    </xf>
    <xf numFmtId="0" fontId="2" fillId="11" borderId="40" xfId="0" applyFont="1" applyFill="1" applyBorder="1" applyAlignment="1">
      <alignment horizontal="center" vertical="center" wrapText="1"/>
    </xf>
    <xf numFmtId="0" fontId="2" fillId="11" borderId="41" xfId="0" applyFont="1" applyFill="1" applyBorder="1" applyAlignment="1">
      <alignment vertical="center" wrapText="1"/>
    </xf>
    <xf numFmtId="0" fontId="2" fillId="11" borderId="42" xfId="0" applyFont="1" applyFill="1" applyBorder="1" applyAlignment="1">
      <alignment vertical="center" wrapText="1"/>
    </xf>
    <xf numFmtId="0" fontId="3" fillId="11" borderId="43" xfId="0" applyFont="1" applyFill="1" applyBorder="1" applyAlignment="1">
      <alignment horizontal="center" vertical="center" wrapText="1"/>
    </xf>
    <xf numFmtId="0" fontId="3" fillId="11" borderId="44" xfId="0" applyFont="1" applyFill="1" applyBorder="1" applyAlignment="1">
      <alignment vertical="center" wrapText="1"/>
    </xf>
    <xf numFmtId="0" fontId="2" fillId="11" borderId="45" xfId="0" applyFont="1" applyFill="1" applyBorder="1" applyAlignment="1">
      <alignment horizontal="center" vertical="center" wrapText="1"/>
    </xf>
    <xf numFmtId="0" fontId="2" fillId="11" borderId="46" xfId="0" applyFont="1" applyFill="1" applyBorder="1" applyAlignment="1">
      <alignment vertical="center" wrapText="1"/>
    </xf>
    <xf numFmtId="0" fontId="3" fillId="11" borderId="44" xfId="0" applyFont="1" applyFill="1" applyBorder="1" applyAlignment="1">
      <alignment horizontal="center" vertical="center" wrapText="1"/>
    </xf>
    <xf numFmtId="0" fontId="3" fillId="11" borderId="47" xfId="0" applyFont="1" applyFill="1" applyBorder="1" applyAlignment="1">
      <alignment vertical="center" wrapText="1"/>
    </xf>
    <xf numFmtId="0" fontId="2" fillId="11" borderId="38" xfId="0" applyFont="1" applyFill="1" applyBorder="1" applyAlignment="1">
      <alignment horizontal="center" vertical="center" wrapText="1"/>
    </xf>
    <xf numFmtId="0" fontId="2" fillId="11" borderId="48" xfId="0" applyFont="1" applyFill="1" applyBorder="1" applyAlignment="1">
      <alignment vertical="center" wrapText="1"/>
    </xf>
    <xf numFmtId="0" fontId="11" fillId="11" borderId="45" xfId="0" applyFont="1" applyFill="1" applyBorder="1" applyAlignment="1">
      <alignment horizontal="center" vertical="center" wrapText="1"/>
    </xf>
    <xf numFmtId="0" fontId="2" fillId="11" borderId="49" xfId="0" applyFont="1" applyFill="1" applyBorder="1" applyAlignment="1">
      <alignment horizontal="center" vertical="center" wrapText="1"/>
    </xf>
    <xf numFmtId="0" fontId="2" fillId="11" borderId="50" xfId="0" applyFont="1" applyFill="1" applyBorder="1" applyAlignment="1">
      <alignment vertical="center" wrapText="1"/>
    </xf>
    <xf numFmtId="0" fontId="2" fillId="11" borderId="51" xfId="0" applyFont="1" applyFill="1" applyBorder="1" applyAlignment="1">
      <alignment horizontal="center" vertical="center" wrapText="1"/>
    </xf>
    <xf numFmtId="0" fontId="2" fillId="11" borderId="52" xfId="0" applyFont="1" applyFill="1" applyBorder="1" applyAlignment="1">
      <alignment vertical="center" wrapText="1"/>
    </xf>
    <xf numFmtId="0" fontId="3" fillId="11" borderId="39" xfId="0" applyFont="1" applyFill="1" applyBorder="1" applyAlignment="1">
      <alignment horizontal="center" vertical="center" wrapText="1"/>
    </xf>
    <xf numFmtId="0" fontId="3" fillId="11" borderId="53" xfId="0" applyFont="1" applyFill="1" applyBorder="1" applyAlignment="1">
      <alignment vertical="center" wrapText="1"/>
    </xf>
    <xf numFmtId="0" fontId="2" fillId="11" borderId="39" xfId="0" applyFont="1" applyFill="1" applyBorder="1" applyAlignment="1">
      <alignment horizontal="center" vertical="center" wrapText="1"/>
    </xf>
    <xf numFmtId="0" fontId="2" fillId="11" borderId="53" xfId="0" applyFont="1" applyFill="1" applyBorder="1" applyAlignment="1">
      <alignment vertical="center" wrapText="1"/>
    </xf>
    <xf numFmtId="0" fontId="2" fillId="11" borderId="54" xfId="0" applyFont="1" applyFill="1" applyBorder="1" applyAlignment="1">
      <alignment vertical="center" wrapText="1"/>
    </xf>
    <xf numFmtId="0" fontId="2" fillId="11" borderId="55" xfId="0" applyFont="1" applyFill="1" applyBorder="1" applyAlignment="1">
      <alignment horizontal="center" vertical="center" wrapText="1"/>
    </xf>
    <xf numFmtId="0" fontId="2" fillId="11" borderId="56" xfId="0" applyFont="1" applyFill="1" applyBorder="1" applyAlignment="1">
      <alignment vertical="center" wrapText="1"/>
    </xf>
    <xf numFmtId="0" fontId="2" fillId="11" borderId="57" xfId="0" applyFont="1" applyFill="1" applyBorder="1" applyAlignment="1">
      <alignment vertical="center" wrapText="1"/>
    </xf>
    <xf numFmtId="0" fontId="3" fillId="11" borderId="58" xfId="0" applyFont="1" applyFill="1" applyBorder="1" applyAlignment="1">
      <alignment vertical="center" wrapText="1"/>
    </xf>
    <xf numFmtId="0" fontId="2" fillId="11" borderId="38" xfId="0" applyFont="1" applyFill="1" applyBorder="1" applyAlignment="1">
      <alignment vertical="center" wrapText="1"/>
    </xf>
    <xf numFmtId="0" fontId="2" fillId="11" borderId="49" xfId="0" applyFont="1" applyFill="1" applyBorder="1" applyAlignment="1">
      <alignment vertical="center" wrapText="1"/>
    </xf>
    <xf numFmtId="0" fontId="11" fillId="11" borderId="49" xfId="0" applyFont="1" applyFill="1" applyBorder="1" applyAlignment="1">
      <alignment horizontal="center" vertical="center" wrapText="1"/>
    </xf>
    <xf numFmtId="0" fontId="2" fillId="11" borderId="51" xfId="0" applyFont="1" applyFill="1" applyBorder="1" applyAlignment="1">
      <alignment vertical="center" wrapText="1"/>
    </xf>
    <xf numFmtId="0" fontId="3" fillId="11" borderId="39" xfId="0" applyFont="1" applyFill="1" applyBorder="1" applyAlignment="1">
      <alignment vertical="center" wrapText="1"/>
    </xf>
    <xf numFmtId="0" fontId="3" fillId="11" borderId="49" xfId="0" applyFont="1" applyFill="1" applyBorder="1" applyAlignment="1">
      <alignment horizontal="center" vertical="center" wrapText="1"/>
    </xf>
    <xf numFmtId="0" fontId="3" fillId="11" borderId="55" xfId="0" applyFont="1" applyFill="1" applyBorder="1" applyAlignment="1">
      <alignment horizontal="center" vertical="center" wrapText="1"/>
    </xf>
    <xf numFmtId="0" fontId="2" fillId="11" borderId="55" xfId="0" applyFont="1" applyFill="1" applyBorder="1" applyAlignment="1">
      <alignment vertical="center" wrapText="1"/>
    </xf>
    <xf numFmtId="0" fontId="2" fillId="11" borderId="45" xfId="0" applyFont="1" applyFill="1" applyBorder="1" applyAlignment="1">
      <alignment vertical="center" wrapText="1"/>
    </xf>
    <xf numFmtId="0" fontId="11" fillId="11" borderId="46" xfId="0" applyFont="1" applyFill="1" applyBorder="1" applyAlignment="1">
      <alignment vertical="center" wrapText="1"/>
    </xf>
    <xf numFmtId="0" fontId="12" fillId="11" borderId="32" xfId="0" applyFont="1" applyFill="1" applyBorder="1" applyAlignment="1">
      <alignment horizontal="center" vertical="center" wrapText="1"/>
    </xf>
    <xf numFmtId="0" fontId="2" fillId="11" borderId="59" xfId="0" applyFont="1" applyFill="1" applyBorder="1" applyAlignment="1">
      <alignment horizontal="center" vertical="center" wrapText="1"/>
    </xf>
    <xf numFmtId="0" fontId="2" fillId="11" borderId="60" xfId="0" applyFont="1" applyFill="1" applyBorder="1" applyAlignment="1">
      <alignment vertical="center" wrapText="1"/>
    </xf>
    <xf numFmtId="0" fontId="3" fillId="11" borderId="51" xfId="0" applyFont="1" applyFill="1" applyBorder="1" applyAlignment="1">
      <alignment horizontal="left" vertical="center" wrapText="1"/>
    </xf>
    <xf numFmtId="0" fontId="2" fillId="11" borderId="61" xfId="0" applyFont="1" applyFill="1" applyBorder="1" applyAlignment="1">
      <alignment horizontal="center" vertical="center" wrapText="1"/>
    </xf>
    <xf numFmtId="0" fontId="33" fillId="11" borderId="49" xfId="0" applyFont="1" applyFill="1" applyBorder="1" applyAlignment="1">
      <alignment vertical="center" wrapText="1"/>
    </xf>
    <xf numFmtId="0" fontId="34" fillId="11" borderId="0" xfId="0" applyFont="1" applyFill="1" applyBorder="1" applyAlignment="1">
      <alignment horizontal="center" vertical="center" wrapText="1"/>
    </xf>
    <xf numFmtId="0" fontId="33" fillId="11" borderId="0" xfId="0" applyFont="1" applyFill="1" applyBorder="1" applyAlignment="1">
      <alignment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0" fontId="11" fillId="11" borderId="32" xfId="0" applyFont="1" applyFill="1" applyBorder="1" applyAlignment="1">
      <alignment horizontal="center" vertical="center" wrapText="1"/>
    </xf>
    <xf numFmtId="0" fontId="10" fillId="0" borderId="54" xfId="0" applyFont="1" applyBorder="1" applyAlignment="1">
      <alignment horizontal="center"/>
    </xf>
    <xf numFmtId="199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49" fontId="67" fillId="0" borderId="29" xfId="1507" applyNumberFormat="1" applyFont="1" applyFill="1" applyBorder="1" applyAlignment="1">
      <alignment horizontal="center" vertical="center" wrapText="1"/>
      <protection/>
    </xf>
    <xf numFmtId="49" fontId="71" fillId="0" borderId="29" xfId="1507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34" fillId="0" borderId="29" xfId="0" applyFont="1" applyBorder="1" applyAlignment="1">
      <alignment vertical="center" wrapText="1"/>
    </xf>
    <xf numFmtId="3" fontId="72" fillId="11" borderId="29" xfId="1507" applyNumberFormat="1" applyFont="1" applyFill="1" applyBorder="1" applyAlignment="1">
      <alignment vertical="center" wrapText="1"/>
      <protection/>
    </xf>
    <xf numFmtId="3" fontId="35" fillId="0" borderId="29" xfId="1507" applyNumberFormat="1" applyFont="1" applyFill="1" applyBorder="1" applyAlignment="1">
      <alignment vertical="center" wrapText="1"/>
      <protection/>
    </xf>
    <xf numFmtId="49" fontId="11" fillId="0" borderId="29" xfId="1507" applyNumberFormat="1" applyFont="1" applyFill="1" applyBorder="1" applyAlignment="1">
      <alignment horizontal="center" vertical="center" wrapText="1"/>
      <protection/>
    </xf>
    <xf numFmtId="3" fontId="11" fillId="0" borderId="29" xfId="1507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vertical="center" wrapText="1"/>
    </xf>
    <xf numFmtId="0" fontId="69" fillId="0" borderId="29" xfId="1507" applyFont="1" applyFill="1" applyBorder="1" applyAlignment="1">
      <alignment vertical="center" wrapText="1"/>
      <protection/>
    </xf>
    <xf numFmtId="0" fontId="12" fillId="0" borderId="29" xfId="1507" applyFont="1" applyFill="1" applyBorder="1" applyAlignment="1">
      <alignment vertical="center" wrapText="1"/>
      <protection/>
    </xf>
    <xf numFmtId="0" fontId="5" fillId="0" borderId="29" xfId="1507" applyFont="1" applyFill="1" applyBorder="1" applyAlignment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17" borderId="29" xfId="0" applyFont="1" applyFill="1" applyBorder="1" applyAlignment="1">
      <alignment horizontal="center" vertical="center" wrapText="1"/>
    </xf>
    <xf numFmtId="3" fontId="3" fillId="11" borderId="62" xfId="0" applyNumberFormat="1" applyFont="1" applyFill="1" applyBorder="1" applyAlignment="1">
      <alignment horizontal="center" vertical="center" wrapText="1"/>
    </xf>
    <xf numFmtId="0" fontId="10" fillId="17" borderId="63" xfId="0" applyFont="1" applyFill="1" applyBorder="1" applyAlignment="1">
      <alignment vertical="center" wrapText="1"/>
    </xf>
    <xf numFmtId="3" fontId="4" fillId="17" borderId="63" xfId="0" applyNumberFormat="1" applyFont="1" applyFill="1" applyBorder="1" applyAlignment="1">
      <alignment vertical="center" wrapText="1"/>
    </xf>
    <xf numFmtId="0" fontId="2" fillId="11" borderId="64" xfId="0" applyFont="1" applyFill="1" applyBorder="1" applyAlignment="1">
      <alignment vertical="center" wrapText="1"/>
    </xf>
    <xf numFmtId="0" fontId="11" fillId="11" borderId="33" xfId="0" applyFont="1" applyFill="1" applyBorder="1" applyAlignment="1">
      <alignment vertical="center" wrapText="1"/>
    </xf>
    <xf numFmtId="0" fontId="70" fillId="17" borderId="29" xfId="1507" applyFont="1" applyFill="1" applyBorder="1" applyAlignment="1">
      <alignment horizontal="center" vertical="center" wrapText="1"/>
      <protection/>
    </xf>
    <xf numFmtId="3" fontId="35" fillId="17" borderId="29" xfId="1507" applyNumberFormat="1" applyFont="1" applyFill="1" applyBorder="1" applyAlignment="1">
      <alignment vertical="center" wrapText="1"/>
      <protection/>
    </xf>
    <xf numFmtId="0" fontId="2" fillId="17" borderId="29" xfId="0" applyFont="1" applyFill="1" applyBorder="1" applyAlignment="1">
      <alignment vertical="center" wrapText="1"/>
    </xf>
    <xf numFmtId="0" fontId="3" fillId="17" borderId="29" xfId="0" applyFont="1" applyFill="1" applyBorder="1" applyAlignment="1">
      <alignment vertical="center" wrapText="1"/>
    </xf>
    <xf numFmtId="0" fontId="67" fillId="17" borderId="29" xfId="1507" applyFont="1" applyFill="1" applyBorder="1" applyAlignment="1">
      <alignment horizontal="center" vertical="center" wrapText="1"/>
      <protection/>
    </xf>
    <xf numFmtId="3" fontId="70" fillId="17" borderId="29" xfId="1507" applyNumberFormat="1" applyFont="1" applyFill="1" applyBorder="1" applyAlignment="1">
      <alignment vertical="center" wrapText="1"/>
      <protection/>
    </xf>
    <xf numFmtId="3" fontId="3" fillId="17" borderId="29" xfId="0" applyNumberFormat="1" applyFont="1" applyFill="1" applyBorder="1" applyAlignment="1">
      <alignment vertical="center" wrapText="1"/>
    </xf>
    <xf numFmtId="0" fontId="1" fillId="17" borderId="29" xfId="0" applyFont="1" applyFill="1" applyBorder="1" applyAlignment="1">
      <alignment vertical="center" wrapText="1"/>
    </xf>
    <xf numFmtId="0" fontId="10" fillId="17" borderId="29" xfId="0" applyFont="1" applyFill="1" applyBorder="1" applyAlignment="1">
      <alignment horizontal="center" vertical="center" wrapText="1"/>
    </xf>
    <xf numFmtId="0" fontId="1" fillId="17" borderId="29" xfId="855" applyFont="1" applyFill="1" applyBorder="1" applyAlignment="1" applyProtection="1">
      <alignment horizontal="center" vertical="center" wrapText="1"/>
      <protection/>
    </xf>
    <xf numFmtId="0" fontId="3" fillId="17" borderId="29" xfId="1507" applyFont="1" applyFill="1" applyBorder="1" applyAlignment="1">
      <alignment horizontal="center" vertical="center" wrapText="1"/>
      <protection/>
    </xf>
    <xf numFmtId="0" fontId="134" fillId="0" borderId="31" xfId="1507" applyFont="1" applyBorder="1" applyAlignment="1">
      <alignment horizontal="center" vertical="center" wrapText="1"/>
      <protection/>
    </xf>
    <xf numFmtId="0" fontId="134" fillId="0" borderId="29" xfId="1507" applyFont="1" applyBorder="1" applyAlignment="1">
      <alignment vertical="center" wrapText="1"/>
      <protection/>
    </xf>
    <xf numFmtId="0" fontId="134" fillId="17" borderId="31" xfId="1507" applyFont="1" applyFill="1" applyBorder="1" applyAlignment="1">
      <alignment horizontal="center" vertical="center" wrapText="1"/>
      <protection/>
    </xf>
    <xf numFmtId="0" fontId="134" fillId="17" borderId="29" xfId="1507" applyFont="1" applyFill="1" applyBorder="1" applyAlignment="1">
      <alignment vertical="center" wrapText="1"/>
      <protection/>
    </xf>
    <xf numFmtId="3" fontId="1" fillId="0" borderId="0" xfId="0" applyNumberFormat="1" applyFont="1" applyAlignment="1">
      <alignment vertical="center" wrapText="1"/>
    </xf>
    <xf numFmtId="16" fontId="67" fillId="59" borderId="29" xfId="1507" applyNumberFormat="1" applyFont="1" applyFill="1" applyBorder="1" applyAlignment="1">
      <alignment horizontal="center" vertical="center" wrapText="1"/>
      <protection/>
    </xf>
    <xf numFmtId="0" fontId="7" fillId="59" borderId="29" xfId="1507" applyFont="1" applyFill="1" applyBorder="1" applyAlignment="1">
      <alignment vertical="center" wrapText="1"/>
      <protection/>
    </xf>
    <xf numFmtId="0" fontId="3" fillId="59" borderId="29" xfId="0" applyFont="1" applyFill="1" applyBorder="1" applyAlignment="1">
      <alignment vertical="center" wrapText="1"/>
    </xf>
    <xf numFmtId="0" fontId="2" fillId="59" borderId="29" xfId="0" applyFont="1" applyFill="1" applyBorder="1" applyAlignment="1">
      <alignment vertical="center" wrapText="1"/>
    </xf>
    <xf numFmtId="0" fontId="1" fillId="59" borderId="0" xfId="0" applyFont="1" applyFill="1" applyAlignment="1">
      <alignment vertical="center" wrapText="1"/>
    </xf>
    <xf numFmtId="0" fontId="134" fillId="0" borderId="31" xfId="1507" applyFont="1" applyBorder="1" applyAlignment="1">
      <alignment horizontal="left" vertical="center" wrapText="1"/>
      <protection/>
    </xf>
    <xf numFmtId="0" fontId="3" fillId="11" borderId="29" xfId="0" applyFont="1" applyFill="1" applyBorder="1" applyAlignment="1">
      <alignment horizontal="center" vertical="center" wrapText="1"/>
    </xf>
    <xf numFmtId="0" fontId="10" fillId="17" borderId="64" xfId="0" applyFont="1" applyFill="1" applyBorder="1" applyAlignment="1">
      <alignment horizontal="center" vertical="center" wrapText="1"/>
    </xf>
    <xf numFmtId="0" fontId="10" fillId="17" borderId="29" xfId="0" applyFont="1" applyFill="1" applyBorder="1" applyAlignment="1">
      <alignment horizontal="center" vertical="center" wrapText="1"/>
    </xf>
    <xf numFmtId="0" fontId="3" fillId="17" borderId="65" xfId="0" applyFont="1" applyFill="1" applyBorder="1" applyAlignment="1">
      <alignment horizontal="center" vertical="center" wrapText="1"/>
    </xf>
    <xf numFmtId="0" fontId="10" fillId="17" borderId="66" xfId="0" applyFont="1" applyFill="1" applyBorder="1" applyAlignment="1">
      <alignment horizontal="center" vertical="center" wrapText="1"/>
    </xf>
    <xf numFmtId="0" fontId="33" fillId="11" borderId="61" xfId="0" applyFont="1" applyFill="1" applyBorder="1" applyAlignment="1">
      <alignment vertical="center" wrapText="1"/>
    </xf>
    <xf numFmtId="0" fontId="3" fillId="17" borderId="67" xfId="0" applyFont="1" applyFill="1" applyBorder="1" applyAlignment="1">
      <alignment horizontal="center" vertical="center" wrapText="1"/>
    </xf>
    <xf numFmtId="0" fontId="3" fillId="17" borderId="28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/>
    </xf>
    <xf numFmtId="0" fontId="3" fillId="59" borderId="0" xfId="0" applyFont="1" applyFill="1" applyAlignment="1">
      <alignment horizontal="center" vertical="center" wrapText="1"/>
    </xf>
    <xf numFmtId="0" fontId="74" fillId="59" borderId="0" xfId="0" applyFont="1" applyFill="1" applyAlignment="1">
      <alignment/>
    </xf>
    <xf numFmtId="1" fontId="2" fillId="11" borderId="30" xfId="0" applyNumberFormat="1" applyFont="1" applyFill="1" applyBorder="1" applyAlignment="1">
      <alignment horizontal="center" vertical="center" wrapText="1"/>
    </xf>
    <xf numFmtId="1" fontId="2" fillId="11" borderId="32" xfId="0" applyNumberFormat="1" applyFont="1" applyFill="1" applyBorder="1" applyAlignment="1">
      <alignment horizontal="center" vertical="center" wrapText="1"/>
    </xf>
    <xf numFmtId="1" fontId="74" fillId="11" borderId="0" xfId="0" applyNumberFormat="1" applyFont="1" applyFill="1" applyAlignment="1">
      <alignment/>
    </xf>
    <xf numFmtId="3" fontId="3" fillId="11" borderId="40" xfId="0" applyNumberFormat="1" applyFont="1" applyFill="1" applyBorder="1" applyAlignment="1">
      <alignment horizontal="center" vertical="center" wrapText="1"/>
    </xf>
    <xf numFmtId="3" fontId="74" fillId="11" borderId="0" xfId="0" applyNumberFormat="1" applyFont="1" applyFill="1" applyAlignment="1">
      <alignment/>
    </xf>
    <xf numFmtId="3" fontId="74" fillId="11" borderId="0" xfId="0" applyNumberFormat="1" applyFont="1" applyFill="1" applyBorder="1" applyAlignment="1">
      <alignment/>
    </xf>
    <xf numFmtId="0" fontId="74" fillId="11" borderId="0" xfId="0" applyFont="1" applyFill="1" applyBorder="1" applyAlignment="1">
      <alignment/>
    </xf>
    <xf numFmtId="3" fontId="33" fillId="11" borderId="68" xfId="0" applyNumberFormat="1" applyFont="1" applyFill="1" applyBorder="1" applyAlignment="1">
      <alignment horizontal="center" vertical="center" wrapText="1"/>
    </xf>
    <xf numFmtId="3" fontId="75" fillId="11" borderId="0" xfId="0" applyNumberFormat="1" applyFont="1" applyFill="1" applyBorder="1" applyAlignment="1">
      <alignment/>
    </xf>
    <xf numFmtId="0" fontId="75" fillId="11" borderId="0" xfId="0" applyFont="1" applyFill="1" applyBorder="1" applyAlignment="1">
      <alignment/>
    </xf>
    <xf numFmtId="0" fontId="75" fillId="11" borderId="0" xfId="0" applyFont="1" applyFill="1" applyAlignment="1">
      <alignment/>
    </xf>
    <xf numFmtId="0" fontId="76" fillId="11" borderId="0" xfId="0" applyFont="1" applyFill="1" applyAlignment="1">
      <alignment/>
    </xf>
    <xf numFmtId="0" fontId="76" fillId="11" borderId="0" xfId="0" applyFont="1" applyFill="1" applyBorder="1" applyAlignment="1">
      <alignment/>
    </xf>
    <xf numFmtId="0" fontId="3" fillId="11" borderId="69" xfId="0" applyFont="1" applyFill="1" applyBorder="1" applyAlignment="1">
      <alignment horizontal="center" vertical="center" wrapText="1"/>
    </xf>
    <xf numFmtId="0" fontId="2" fillId="11" borderId="70" xfId="0" applyFont="1" applyFill="1" applyBorder="1" applyAlignment="1">
      <alignment horizontal="center" vertical="center" wrapText="1"/>
    </xf>
    <xf numFmtId="0" fontId="3" fillId="11" borderId="71" xfId="0" applyFont="1" applyFill="1" applyBorder="1" applyAlignment="1">
      <alignment horizontal="center" vertical="center" wrapText="1"/>
    </xf>
    <xf numFmtId="1" fontId="76" fillId="11" borderId="0" xfId="0" applyNumberFormat="1" applyFont="1" applyFill="1" applyAlignment="1">
      <alignment/>
    </xf>
    <xf numFmtId="3" fontId="76" fillId="11" borderId="0" xfId="0" applyNumberFormat="1" applyFont="1" applyFill="1" applyAlignment="1">
      <alignment/>
    </xf>
    <xf numFmtId="0" fontId="3" fillId="11" borderId="72" xfId="0" applyFont="1" applyFill="1" applyBorder="1" applyAlignment="1">
      <alignment horizontal="center" vertical="center" wrapText="1"/>
    </xf>
    <xf numFmtId="0" fontId="2" fillId="11" borderId="72" xfId="0" applyFont="1" applyFill="1" applyBorder="1" applyAlignment="1">
      <alignment horizontal="center" vertical="center" wrapText="1"/>
    </xf>
    <xf numFmtId="1" fontId="3" fillId="11" borderId="72" xfId="0" applyNumberFormat="1" applyFont="1" applyFill="1" applyBorder="1" applyAlignment="1">
      <alignment horizontal="center" vertical="center" wrapText="1"/>
    </xf>
    <xf numFmtId="1" fontId="2" fillId="11" borderId="37" xfId="0" applyNumberFormat="1" applyFont="1" applyFill="1" applyBorder="1" applyAlignment="1">
      <alignment horizontal="center" vertical="center" wrapText="1"/>
    </xf>
    <xf numFmtId="1" fontId="3" fillId="11" borderId="69" xfId="0" applyNumberFormat="1" applyFont="1" applyFill="1" applyBorder="1" applyAlignment="1">
      <alignment horizontal="center" vertical="center" wrapText="1"/>
    </xf>
    <xf numFmtId="3" fontId="33" fillId="11" borderId="32" xfId="0" applyNumberFormat="1" applyFont="1" applyFill="1" applyBorder="1" applyAlignment="1">
      <alignment horizontal="center" vertical="center" wrapText="1"/>
    </xf>
    <xf numFmtId="3" fontId="33" fillId="11" borderId="30" xfId="0" applyNumberFormat="1" applyFont="1" applyFill="1" applyBorder="1" applyAlignment="1">
      <alignment horizontal="center" vertical="center" wrapText="1"/>
    </xf>
    <xf numFmtId="3" fontId="33" fillId="11" borderId="72" xfId="0" applyNumberFormat="1" applyFont="1" applyFill="1" applyBorder="1" applyAlignment="1">
      <alignment horizontal="center" vertical="center" wrapText="1"/>
    </xf>
    <xf numFmtId="3" fontId="77" fillId="11" borderId="0" xfId="0" applyNumberFormat="1" applyFont="1" applyFill="1" applyAlignment="1">
      <alignment/>
    </xf>
    <xf numFmtId="0" fontId="77" fillId="11" borderId="0" xfId="0" applyFont="1" applyFill="1" applyAlignment="1">
      <alignment/>
    </xf>
    <xf numFmtId="0" fontId="74" fillId="11" borderId="0" xfId="0" applyFont="1" applyFill="1" applyBorder="1" applyAlignment="1">
      <alignment vertical="center" wrapText="1"/>
    </xf>
    <xf numFmtId="0" fontId="74" fillId="11" borderId="0" xfId="0" applyFont="1" applyFill="1" applyAlignment="1">
      <alignment vertical="center" wrapText="1"/>
    </xf>
    <xf numFmtId="0" fontId="135" fillId="11" borderId="45" xfId="0" applyFont="1" applyFill="1" applyBorder="1" applyAlignment="1">
      <alignment horizontal="center" vertical="center" wrapText="1"/>
    </xf>
    <xf numFmtId="0" fontId="135" fillId="11" borderId="45" xfId="0" applyFont="1" applyFill="1" applyBorder="1" applyAlignment="1">
      <alignment vertical="center" wrapText="1"/>
    </xf>
    <xf numFmtId="3" fontId="135" fillId="11" borderId="32" xfId="0" applyNumberFormat="1" applyFont="1" applyFill="1" applyBorder="1" applyAlignment="1">
      <alignment horizontal="center" vertical="center" wrapText="1"/>
    </xf>
    <xf numFmtId="0" fontId="3" fillId="11" borderId="40" xfId="0" applyFont="1" applyFill="1" applyBorder="1" applyAlignment="1">
      <alignment horizontal="center" vertical="center" wrapText="1"/>
    </xf>
    <xf numFmtId="0" fontId="12" fillId="11" borderId="33" xfId="0" applyFont="1" applyFill="1" applyBorder="1" applyAlignment="1">
      <alignment horizontal="left" vertical="center" wrapText="1"/>
    </xf>
    <xf numFmtId="0" fontId="78" fillId="11" borderId="0" xfId="0" applyFont="1" applyFill="1" applyAlignment="1">
      <alignment/>
    </xf>
    <xf numFmtId="0" fontId="3" fillId="11" borderId="45" xfId="0" applyFont="1" applyFill="1" applyBorder="1" applyAlignment="1">
      <alignment horizontal="center" vertical="center" wrapText="1"/>
    </xf>
    <xf numFmtId="0" fontId="79" fillId="11" borderId="0" xfId="0" applyFont="1" applyFill="1" applyAlignment="1">
      <alignment/>
    </xf>
    <xf numFmtId="0" fontId="3" fillId="17" borderId="59" xfId="0" applyFont="1" applyFill="1" applyBorder="1" applyAlignment="1">
      <alignment horizontal="center" vertical="top" wrapText="1"/>
    </xf>
    <xf numFmtId="0" fontId="3" fillId="17" borderId="42" xfId="0" applyFont="1" applyFill="1" applyBorder="1" applyAlignment="1">
      <alignment horizontal="center" vertical="top" wrapText="1"/>
    </xf>
    <xf numFmtId="188" fontId="2" fillId="11" borderId="29" xfId="0" applyNumberFormat="1" applyFont="1" applyFill="1" applyBorder="1" applyAlignment="1">
      <alignment horizontal="center" vertical="center" wrapText="1"/>
    </xf>
    <xf numFmtId="1" fontId="2" fillId="11" borderId="29" xfId="0" applyNumberFormat="1" applyFont="1" applyFill="1" applyBorder="1" applyAlignment="1">
      <alignment horizontal="center" vertical="center" wrapText="1"/>
    </xf>
    <xf numFmtId="0" fontId="3" fillId="11" borderId="63" xfId="0" applyFont="1" applyFill="1" applyBorder="1" applyAlignment="1">
      <alignment horizontal="center" vertical="center" wrapText="1"/>
    </xf>
    <xf numFmtId="1" fontId="3" fillId="11" borderId="40" xfId="0" applyNumberFormat="1" applyFont="1" applyFill="1" applyBorder="1" applyAlignment="1">
      <alignment horizontal="center" vertical="center" wrapText="1"/>
    </xf>
    <xf numFmtId="1" fontId="3" fillId="11" borderId="73" xfId="0" applyNumberFormat="1" applyFont="1" applyFill="1" applyBorder="1" applyAlignment="1">
      <alignment horizontal="center" vertical="center" wrapText="1"/>
    </xf>
    <xf numFmtId="3" fontId="3" fillId="11" borderId="73" xfId="0" applyNumberFormat="1" applyFont="1" applyFill="1" applyBorder="1" applyAlignment="1">
      <alignment horizontal="center" vertical="center" wrapText="1"/>
    </xf>
    <xf numFmtId="0" fontId="2" fillId="11" borderId="73" xfId="0" applyFont="1" applyFill="1" applyBorder="1" applyAlignment="1">
      <alignment horizontal="center" vertical="center" wrapText="1"/>
    </xf>
    <xf numFmtId="0" fontId="3" fillId="11" borderId="73" xfId="0" applyFont="1" applyFill="1" applyBorder="1" applyAlignment="1">
      <alignment horizontal="center" vertical="center" wrapText="1"/>
    </xf>
    <xf numFmtId="0" fontId="2" fillId="11" borderId="63" xfId="0" applyFont="1" applyFill="1" applyBorder="1" applyAlignment="1">
      <alignment horizontal="center" vertical="center" wrapText="1"/>
    </xf>
    <xf numFmtId="1" fontId="3" fillId="11" borderId="62" xfId="0" applyNumberFormat="1" applyFont="1" applyFill="1" applyBorder="1" applyAlignment="1">
      <alignment horizontal="center" vertical="center" wrapText="1"/>
    </xf>
    <xf numFmtId="0" fontId="2" fillId="11" borderId="54" xfId="0" applyFont="1" applyFill="1" applyBorder="1" applyAlignment="1">
      <alignment horizontal="center" vertical="center" wrapText="1"/>
    </xf>
    <xf numFmtId="1" fontId="2" fillId="11" borderId="63" xfId="0" applyNumberFormat="1" applyFont="1" applyFill="1" applyBorder="1" applyAlignment="1">
      <alignment horizontal="center" vertical="center" wrapText="1"/>
    </xf>
    <xf numFmtId="3" fontId="3" fillId="11" borderId="63" xfId="0" applyNumberFormat="1" applyFont="1" applyFill="1" applyBorder="1" applyAlignment="1">
      <alignment horizontal="center" vertical="center" wrapText="1"/>
    </xf>
    <xf numFmtId="3" fontId="3" fillId="11" borderId="29" xfId="0" applyNumberFormat="1" applyFont="1" applyFill="1" applyBorder="1" applyAlignment="1">
      <alignment horizontal="center" vertical="center" wrapText="1"/>
    </xf>
    <xf numFmtId="1" fontId="3" fillId="11" borderId="74" xfId="0" applyNumberFormat="1" applyFont="1" applyFill="1" applyBorder="1" applyAlignment="1">
      <alignment horizontal="center" vertical="center" wrapText="1"/>
    </xf>
    <xf numFmtId="0" fontId="3" fillId="11" borderId="74" xfId="0" applyFont="1" applyFill="1" applyBorder="1" applyAlignment="1">
      <alignment horizontal="center" vertical="center" wrapText="1"/>
    </xf>
    <xf numFmtId="3" fontId="3" fillId="11" borderId="74" xfId="0" applyNumberFormat="1" applyFont="1" applyFill="1" applyBorder="1" applyAlignment="1">
      <alignment horizontal="center" vertical="center" wrapText="1"/>
    </xf>
    <xf numFmtId="0" fontId="3" fillId="11" borderId="60" xfId="0" applyFont="1" applyFill="1" applyBorder="1" applyAlignment="1">
      <alignment horizontal="center" vertical="center" wrapText="1"/>
    </xf>
    <xf numFmtId="0" fontId="3" fillId="11" borderId="62" xfId="0" applyFont="1" applyFill="1" applyBorder="1" applyAlignment="1">
      <alignment horizontal="center" vertical="center" wrapText="1"/>
    </xf>
    <xf numFmtId="1" fontId="2" fillId="11" borderId="73" xfId="0" applyNumberFormat="1" applyFont="1" applyFill="1" applyBorder="1" applyAlignment="1">
      <alignment horizontal="center" vertical="center" wrapText="1"/>
    </xf>
    <xf numFmtId="1" fontId="2" fillId="11" borderId="42" xfId="0" applyNumberFormat="1" applyFont="1" applyFill="1" applyBorder="1" applyAlignment="1">
      <alignment horizontal="center" vertical="center" wrapText="1"/>
    </xf>
    <xf numFmtId="3" fontId="3" fillId="11" borderId="42" xfId="0" applyNumberFormat="1" applyFont="1" applyFill="1" applyBorder="1" applyAlignment="1">
      <alignment horizontal="center" vertical="center" wrapText="1"/>
    </xf>
    <xf numFmtId="1" fontId="2" fillId="11" borderId="64" xfId="0" applyNumberFormat="1" applyFont="1" applyFill="1" applyBorder="1" applyAlignment="1">
      <alignment horizontal="center" vertical="center" wrapText="1"/>
    </xf>
    <xf numFmtId="3" fontId="3" fillId="11" borderId="64" xfId="0" applyNumberFormat="1" applyFont="1" applyFill="1" applyBorder="1" applyAlignment="1">
      <alignment horizontal="center" vertical="center" wrapText="1"/>
    </xf>
    <xf numFmtId="1" fontId="2" fillId="11" borderId="75" xfId="0" applyNumberFormat="1" applyFont="1" applyFill="1" applyBorder="1" applyAlignment="1">
      <alignment horizontal="center" vertical="center" wrapText="1"/>
    </xf>
    <xf numFmtId="3" fontId="3" fillId="11" borderId="75" xfId="0" applyNumberFormat="1" applyFont="1" applyFill="1" applyBorder="1" applyAlignment="1">
      <alignment horizontal="center" vertical="center" wrapText="1"/>
    </xf>
    <xf numFmtId="0" fontId="2" fillId="11" borderId="66" xfId="0" applyFont="1" applyFill="1" applyBorder="1" applyAlignment="1">
      <alignment horizontal="center" vertical="center" wrapText="1"/>
    </xf>
    <xf numFmtId="3" fontId="3" fillId="11" borderId="14" xfId="0" applyNumberFormat="1" applyFont="1" applyFill="1" applyBorder="1" applyAlignment="1">
      <alignment horizontal="center" vertical="center" wrapText="1"/>
    </xf>
    <xf numFmtId="1" fontId="3" fillId="11" borderId="42" xfId="0" applyNumberFormat="1" applyFont="1" applyFill="1" applyBorder="1" applyAlignment="1">
      <alignment horizontal="center" vertical="center" wrapText="1"/>
    </xf>
    <xf numFmtId="0" fontId="2" fillId="17" borderId="38" xfId="0" applyFont="1" applyFill="1" applyBorder="1" applyAlignment="1">
      <alignment horizontal="center" vertical="center" wrapText="1"/>
    </xf>
    <xf numFmtId="0" fontId="3" fillId="17" borderId="38" xfId="0" applyFont="1" applyFill="1" applyBorder="1" applyAlignment="1">
      <alignment vertical="center" wrapText="1"/>
    </xf>
    <xf numFmtId="1" fontId="3" fillId="17" borderId="65" xfId="0" applyNumberFormat="1" applyFont="1" applyFill="1" applyBorder="1" applyAlignment="1">
      <alignment horizontal="center" vertical="center" wrapText="1"/>
    </xf>
    <xf numFmtId="1" fontId="3" fillId="17" borderId="73" xfId="0" applyNumberFormat="1" applyFont="1" applyFill="1" applyBorder="1" applyAlignment="1">
      <alignment horizontal="center" vertical="center" wrapText="1"/>
    </xf>
    <xf numFmtId="3" fontId="73" fillId="11" borderId="0" xfId="0" applyNumberFormat="1" applyFont="1" applyFill="1" applyAlignment="1">
      <alignment/>
    </xf>
    <xf numFmtId="0" fontId="79" fillId="11" borderId="0" xfId="0" applyFont="1" applyFill="1" applyAlignment="1">
      <alignment vertical="center" wrapText="1"/>
    </xf>
    <xf numFmtId="0" fontId="3" fillId="17" borderId="76" xfId="0" applyFont="1" applyFill="1" applyBorder="1" applyAlignment="1">
      <alignment horizontal="center" vertical="top" wrapText="1"/>
    </xf>
    <xf numFmtId="1" fontId="3" fillId="11" borderId="29" xfId="0" applyNumberFormat="1" applyFont="1" applyFill="1" applyBorder="1" applyAlignment="1">
      <alignment horizontal="center" vertical="center" wrapText="1"/>
    </xf>
    <xf numFmtId="1" fontId="135" fillId="11" borderId="32" xfId="0" applyNumberFormat="1" applyFont="1" applyFill="1" applyBorder="1" applyAlignment="1">
      <alignment horizontal="center" vertical="center" wrapText="1"/>
    </xf>
    <xf numFmtId="1" fontId="135" fillId="11" borderId="63" xfId="0" applyNumberFormat="1" applyFont="1" applyFill="1" applyBorder="1" applyAlignment="1">
      <alignment horizontal="center" vertical="center" wrapText="1"/>
    </xf>
    <xf numFmtId="3" fontId="135" fillId="11" borderId="63" xfId="0" applyNumberFormat="1" applyFont="1" applyFill="1" applyBorder="1" applyAlignment="1">
      <alignment horizontal="center" vertical="center" wrapText="1"/>
    </xf>
    <xf numFmtId="1" fontId="2" fillId="11" borderId="74" xfId="0" applyNumberFormat="1" applyFont="1" applyFill="1" applyBorder="1" applyAlignment="1">
      <alignment horizontal="center" vertical="center" wrapText="1"/>
    </xf>
    <xf numFmtId="3" fontId="11" fillId="11" borderId="63" xfId="0" applyNumberFormat="1" applyFont="1" applyFill="1" applyBorder="1" applyAlignment="1">
      <alignment horizontal="center" vertical="center" wrapText="1"/>
    </xf>
    <xf numFmtId="1" fontId="11" fillId="11" borderId="29" xfId="0" applyNumberFormat="1" applyFont="1" applyFill="1" applyBorder="1" applyAlignment="1">
      <alignment horizontal="center" vertical="center" wrapText="1"/>
    </xf>
    <xf numFmtId="0" fontId="3" fillId="59" borderId="38" xfId="0" applyFont="1" applyFill="1" applyBorder="1" applyAlignment="1">
      <alignment vertical="center" wrapText="1"/>
    </xf>
    <xf numFmtId="1" fontId="3" fillId="59" borderId="73" xfId="0" applyNumberFormat="1" applyFont="1" applyFill="1" applyBorder="1" applyAlignment="1">
      <alignment horizontal="center" vertical="center" wrapText="1"/>
    </xf>
    <xf numFmtId="1" fontId="3" fillId="59" borderId="41" xfId="0" applyNumberFormat="1" applyFont="1" applyFill="1" applyBorder="1" applyAlignment="1">
      <alignment horizontal="center" vertical="center" wrapText="1"/>
    </xf>
    <xf numFmtId="0" fontId="3" fillId="59" borderId="77" xfId="0" applyFont="1" applyFill="1" applyBorder="1" applyAlignment="1">
      <alignment horizontal="center" vertical="center" wrapText="1"/>
    </xf>
    <xf numFmtId="0" fontId="135" fillId="59" borderId="45" xfId="0" applyFont="1" applyFill="1" applyBorder="1" applyAlignment="1">
      <alignment vertical="center" wrapText="1"/>
    </xf>
    <xf numFmtId="1" fontId="135" fillId="59" borderId="32" xfId="0" applyNumberFormat="1" applyFont="1" applyFill="1" applyBorder="1" applyAlignment="1">
      <alignment horizontal="center" vertical="center" wrapText="1"/>
    </xf>
    <xf numFmtId="1" fontId="135" fillId="59" borderId="63" xfId="0" applyNumberFormat="1" applyFont="1" applyFill="1" applyBorder="1" applyAlignment="1">
      <alignment horizontal="center" vertical="center" wrapText="1"/>
    </xf>
    <xf numFmtId="3" fontId="135" fillId="59" borderId="63" xfId="0" applyNumberFormat="1" applyFont="1" applyFill="1" applyBorder="1" applyAlignment="1">
      <alignment horizontal="center" vertical="center" wrapText="1"/>
    </xf>
    <xf numFmtId="0" fontId="4" fillId="17" borderId="38" xfId="0" applyFont="1" applyFill="1" applyBorder="1" applyAlignment="1">
      <alignment vertical="center" wrapText="1"/>
    </xf>
    <xf numFmtId="3" fontId="3" fillId="17" borderId="73" xfId="0" applyNumberFormat="1" applyFont="1" applyFill="1" applyBorder="1" applyAlignment="1">
      <alignment horizontal="center" vertical="center" wrapText="1"/>
    </xf>
    <xf numFmtId="1" fontId="3" fillId="17" borderId="40" xfId="0" applyNumberFormat="1" applyFont="1" applyFill="1" applyBorder="1" applyAlignment="1">
      <alignment horizontal="center" vertical="center" wrapText="1"/>
    </xf>
    <xf numFmtId="0" fontId="2" fillId="59" borderId="49" xfId="0" applyFont="1" applyFill="1" applyBorder="1" applyAlignment="1">
      <alignment horizontal="center" vertical="center" wrapText="1"/>
    </xf>
    <xf numFmtId="3" fontId="7" fillId="59" borderId="64" xfId="0" applyNumberFormat="1" applyFont="1" applyFill="1" applyBorder="1" applyAlignment="1">
      <alignment vertical="center" wrapText="1"/>
    </xf>
    <xf numFmtId="3" fontId="5" fillId="59" borderId="70" xfId="0" applyNumberFormat="1" applyFont="1" applyFill="1" applyBorder="1" applyAlignment="1">
      <alignment vertical="center" wrapText="1"/>
    </xf>
    <xf numFmtId="0" fontId="1" fillId="17" borderId="29" xfId="0" applyFont="1" applyFill="1" applyBorder="1" applyAlignment="1">
      <alignment horizontal="center" vertical="center" wrapText="1"/>
    </xf>
    <xf numFmtId="0" fontId="5" fillId="17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17" borderId="29" xfId="855" applyFont="1" applyFill="1" applyBorder="1" applyAlignment="1" applyProtection="1">
      <alignment horizontal="center" vertical="center" wrapText="1"/>
      <protection/>
    </xf>
    <xf numFmtId="0" fontId="2" fillId="17" borderId="29" xfId="0" applyFont="1" applyFill="1" applyBorder="1" applyAlignment="1">
      <alignment horizontal="center" vertical="center" wrapText="1"/>
    </xf>
    <xf numFmtId="0" fontId="3" fillId="17" borderId="29" xfId="1507" applyFont="1" applyFill="1" applyBorder="1" applyAlignment="1">
      <alignment vertical="center" wrapText="1"/>
      <protection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29" xfId="0" applyNumberFormat="1" applyFont="1" applyFill="1" applyBorder="1" applyAlignment="1">
      <alignment vertical="center" wrapText="1"/>
    </xf>
    <xf numFmtId="0" fontId="5" fillId="0" borderId="78" xfId="0" applyFont="1" applyFill="1" applyBorder="1" applyAlignment="1">
      <alignment vertical="center" wrapText="1"/>
    </xf>
    <xf numFmtId="0" fontId="5" fillId="11" borderId="78" xfId="0" applyFont="1" applyFill="1" applyBorder="1" applyAlignment="1">
      <alignment vertical="center" wrapText="1"/>
    </xf>
    <xf numFmtId="0" fontId="5" fillId="11" borderId="79" xfId="0" applyFont="1" applyFill="1" applyBorder="1" applyAlignment="1">
      <alignment vertical="center" wrapText="1"/>
    </xf>
    <xf numFmtId="0" fontId="5" fillId="0" borderId="79" xfId="0" applyFont="1" applyFill="1" applyBorder="1" applyAlignment="1">
      <alignment vertical="center" wrapText="1"/>
    </xf>
    <xf numFmtId="1" fontId="5" fillId="0" borderId="0" xfId="0" applyNumberFormat="1" applyFont="1" applyAlignment="1">
      <alignment/>
    </xf>
    <xf numFmtId="190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0" fontId="4" fillId="0" borderId="80" xfId="0" applyFont="1" applyBorder="1" applyAlignment="1">
      <alignment vertical="center" wrapText="1"/>
    </xf>
    <xf numFmtId="1" fontId="4" fillId="0" borderId="81" xfId="0" applyNumberFormat="1" applyFont="1" applyBorder="1" applyAlignment="1">
      <alignment vertical="center" wrapText="1"/>
    </xf>
    <xf numFmtId="3" fontId="4" fillId="0" borderId="81" xfId="0" applyNumberFormat="1" applyFont="1" applyBorder="1" applyAlignment="1">
      <alignment vertical="center" wrapText="1"/>
    </xf>
    <xf numFmtId="0" fontId="5" fillId="0" borderId="78" xfId="0" applyFont="1" applyBorder="1" applyAlignment="1">
      <alignment vertical="center" wrapText="1"/>
    </xf>
    <xf numFmtId="0" fontId="5" fillId="0" borderId="78" xfId="0" applyFont="1" applyBorder="1" applyAlignment="1" applyProtection="1">
      <alignment/>
      <protection locked="0"/>
    </xf>
    <xf numFmtId="3" fontId="4" fillId="0" borderId="63" xfId="0" applyNumberFormat="1" applyFont="1" applyFill="1" applyBorder="1" applyAlignment="1">
      <alignment vertical="center" wrapText="1"/>
    </xf>
    <xf numFmtId="2" fontId="5" fillId="0" borderId="0" xfId="0" applyNumberFormat="1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5" fillId="0" borderId="79" xfId="0" applyFont="1" applyBorder="1" applyAlignment="1" applyProtection="1">
      <alignment/>
      <protection locked="0"/>
    </xf>
    <xf numFmtId="0" fontId="5" fillId="0" borderId="79" xfId="0" applyFont="1" applyBorder="1" applyAlignment="1" applyProtection="1">
      <alignment wrapText="1"/>
      <protection locked="0"/>
    </xf>
    <xf numFmtId="0" fontId="5" fillId="0" borderId="79" xfId="0" applyFont="1" applyBorder="1" applyAlignment="1" applyProtection="1">
      <alignment vertical="center" wrapText="1"/>
      <protection locked="0"/>
    </xf>
    <xf numFmtId="0" fontId="5" fillId="0" borderId="79" xfId="0" applyFont="1" applyBorder="1" applyAlignment="1">
      <alignment vertical="center" wrapText="1"/>
    </xf>
    <xf numFmtId="0" fontId="5" fillId="0" borderId="82" xfId="0" applyFont="1" applyBorder="1" applyAlignment="1">
      <alignment vertical="center" wrapText="1"/>
    </xf>
    <xf numFmtId="3" fontId="4" fillId="0" borderId="29" xfId="0" applyNumberFormat="1" applyFont="1" applyBorder="1" applyAlignment="1">
      <alignment vertical="center" wrapText="1"/>
    </xf>
    <xf numFmtId="3" fontId="4" fillId="0" borderId="63" xfId="0" applyNumberFormat="1" applyFont="1" applyBorder="1" applyAlignment="1">
      <alignment vertical="center" wrapText="1"/>
    </xf>
    <xf numFmtId="3" fontId="4" fillId="11" borderId="29" xfId="0" applyNumberFormat="1" applyFont="1" applyFill="1" applyBorder="1" applyAlignment="1">
      <alignment vertical="center" wrapText="1"/>
    </xf>
    <xf numFmtId="0" fontId="5" fillId="0" borderId="83" xfId="0" applyFont="1" applyBorder="1" applyAlignment="1">
      <alignment vertical="center" wrapText="1"/>
    </xf>
    <xf numFmtId="0" fontId="5" fillId="59" borderId="79" xfId="0" applyFont="1" applyFill="1" applyBorder="1" applyAlignment="1">
      <alignment vertical="center" wrapText="1"/>
    </xf>
    <xf numFmtId="3" fontId="4" fillId="59" borderId="29" xfId="0" applyNumberFormat="1" applyFont="1" applyFill="1" applyBorder="1" applyAlignment="1">
      <alignment vertical="center" wrapText="1"/>
    </xf>
    <xf numFmtId="0" fontId="5" fillId="59" borderId="0" xfId="0" applyFont="1" applyFill="1" applyAlignment="1">
      <alignment/>
    </xf>
    <xf numFmtId="0" fontId="14" fillId="0" borderId="78" xfId="0" applyFont="1" applyBorder="1" applyAlignment="1">
      <alignment vertical="center" wrapText="1"/>
    </xf>
    <xf numFmtId="0" fontId="5" fillId="0" borderId="83" xfId="0" applyFont="1" applyFill="1" applyBorder="1" applyAlignment="1">
      <alignment vertical="center" wrapText="1"/>
    </xf>
    <xf numFmtId="3" fontId="5" fillId="0" borderId="63" xfId="0" applyNumberFormat="1" applyFont="1" applyFill="1" applyBorder="1" applyAlignment="1">
      <alignment vertical="center" wrapText="1"/>
    </xf>
    <xf numFmtId="0" fontId="5" fillId="0" borderId="84" xfId="0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0" fontId="4" fillId="17" borderId="80" xfId="0" applyFont="1" applyFill="1" applyBorder="1" applyAlignment="1">
      <alignment vertical="center" wrapText="1"/>
    </xf>
    <xf numFmtId="3" fontId="5" fillId="59" borderId="0" xfId="0" applyNumberFormat="1" applyFont="1" applyFill="1" applyAlignment="1">
      <alignment/>
    </xf>
    <xf numFmtId="0" fontId="136" fillId="0" borderId="78" xfId="0" applyFont="1" applyBorder="1" applyAlignment="1" applyProtection="1">
      <alignment vertical="center" wrapText="1"/>
      <protection locked="0"/>
    </xf>
    <xf numFmtId="3" fontId="137" fillId="0" borderId="63" xfId="0" applyNumberFormat="1" applyFont="1" applyFill="1" applyBorder="1" applyAlignment="1">
      <alignment vertical="center" wrapText="1"/>
    </xf>
    <xf numFmtId="0" fontId="136" fillId="0" borderId="0" xfId="0" applyFont="1" applyAlignment="1">
      <alignment/>
    </xf>
    <xf numFmtId="3" fontId="136" fillId="0" borderId="0" xfId="0" applyNumberFormat="1" applyFont="1" applyAlignment="1">
      <alignment/>
    </xf>
    <xf numFmtId="2" fontId="136" fillId="0" borderId="0" xfId="0" applyNumberFormat="1" applyFont="1" applyAlignment="1">
      <alignment/>
    </xf>
    <xf numFmtId="0" fontId="138" fillId="0" borderId="0" xfId="0" applyFont="1" applyAlignment="1">
      <alignment/>
    </xf>
    <xf numFmtId="3" fontId="138" fillId="0" borderId="0" xfId="0" applyNumberFormat="1" applyFont="1" applyAlignment="1">
      <alignment/>
    </xf>
    <xf numFmtId="0" fontId="2" fillId="0" borderId="63" xfId="0" applyFont="1" applyBorder="1" applyAlignment="1">
      <alignment vertical="center" wrapText="1"/>
    </xf>
    <xf numFmtId="3" fontId="137" fillId="0" borderId="29" xfId="0" applyNumberFormat="1" applyFont="1" applyFill="1" applyBorder="1" applyAlignment="1">
      <alignment vertical="center" wrapText="1"/>
    </xf>
    <xf numFmtId="0" fontId="5" fillId="0" borderId="85" xfId="0" applyFont="1" applyBorder="1" applyAlignment="1">
      <alignment vertical="center" wrapText="1"/>
    </xf>
    <xf numFmtId="3" fontId="4" fillId="0" borderId="86" xfId="0" applyNumberFormat="1" applyFont="1" applyBorder="1" applyAlignment="1">
      <alignment vertical="center" wrapText="1"/>
    </xf>
    <xf numFmtId="0" fontId="136" fillId="0" borderId="79" xfId="0" applyFont="1" applyBorder="1" applyAlignment="1" applyProtection="1">
      <alignment vertical="center" wrapText="1"/>
      <protection locked="0"/>
    </xf>
    <xf numFmtId="0" fontId="5" fillId="0" borderId="84" xfId="0" applyFont="1" applyBorder="1" applyAlignment="1">
      <alignment vertical="center" wrapText="1"/>
    </xf>
    <xf numFmtId="3" fontId="4" fillId="0" borderId="64" xfId="0" applyNumberFormat="1" applyFont="1" applyBorder="1" applyAlignment="1">
      <alignment vertical="center" wrapText="1"/>
    </xf>
    <xf numFmtId="3" fontId="4" fillId="0" borderId="64" xfId="0" applyNumberFormat="1" applyFont="1" applyFill="1" applyBorder="1" applyAlignment="1">
      <alignment vertical="center" wrapText="1"/>
    </xf>
    <xf numFmtId="3" fontId="4" fillId="0" borderId="81" xfId="0" applyNumberFormat="1" applyFont="1" applyFill="1" applyBorder="1" applyAlignment="1">
      <alignment vertical="center" wrapText="1"/>
    </xf>
    <xf numFmtId="0" fontId="4" fillId="0" borderId="78" xfId="0" applyFont="1" applyBorder="1" applyAlignment="1">
      <alignment vertical="center" wrapText="1"/>
    </xf>
    <xf numFmtId="0" fontId="137" fillId="0" borderId="78" xfId="0" applyFont="1" applyBorder="1" applyAlignment="1" applyProtection="1">
      <alignment vertical="center" wrapText="1"/>
      <protection locked="0"/>
    </xf>
    <xf numFmtId="3" fontId="4" fillId="0" borderId="87" xfId="0" applyNumberFormat="1" applyFont="1" applyBorder="1" applyAlignment="1">
      <alignment vertical="center" wrapText="1"/>
    </xf>
    <xf numFmtId="0" fontId="2" fillId="0" borderId="0" xfId="1425" applyFont="1" applyAlignment="1">
      <alignment vertical="center" wrapText="1"/>
      <protection/>
    </xf>
    <xf numFmtId="0" fontId="2" fillId="0" borderId="0" xfId="1425" applyFont="1" applyAlignment="1">
      <alignment horizontal="right" vertical="center" wrapText="1"/>
      <protection/>
    </xf>
    <xf numFmtId="0" fontId="5" fillId="0" borderId="0" xfId="1425" applyFont="1" applyAlignment="1">
      <alignment vertical="center" wrapText="1"/>
      <protection/>
    </xf>
    <xf numFmtId="3" fontId="3" fillId="0" borderId="29" xfId="1425" applyNumberFormat="1" applyFont="1" applyBorder="1" applyAlignment="1">
      <alignment vertical="center" wrapText="1"/>
      <protection/>
    </xf>
    <xf numFmtId="0" fontId="3" fillId="0" borderId="29" xfId="1425" applyFont="1" applyBorder="1" applyAlignment="1">
      <alignment vertical="center" wrapText="1"/>
      <protection/>
    </xf>
    <xf numFmtId="0" fontId="3" fillId="0" borderId="0" xfId="1425" applyFont="1" applyAlignment="1">
      <alignment vertical="center" wrapText="1"/>
      <protection/>
    </xf>
    <xf numFmtId="3" fontId="74" fillId="59" borderId="0" xfId="0" applyNumberFormat="1" applyFont="1" applyFill="1" applyAlignment="1">
      <alignment/>
    </xf>
    <xf numFmtId="0" fontId="2" fillId="17" borderId="63" xfId="855" applyFont="1" applyFill="1" applyBorder="1" applyAlignment="1" applyProtection="1">
      <alignment horizontal="center" vertical="center" wrapText="1"/>
      <protection/>
    </xf>
    <xf numFmtId="0" fontId="12" fillId="0" borderId="79" xfId="0" applyFont="1" applyBorder="1" applyAlignment="1" applyProtection="1">
      <alignment/>
      <protection locked="0"/>
    </xf>
    <xf numFmtId="3" fontId="4" fillId="0" borderId="86" xfId="0" applyNumberFormat="1" applyFont="1" applyFill="1" applyBorder="1" applyAlignment="1">
      <alignment vertical="center" wrapText="1"/>
    </xf>
    <xf numFmtId="0" fontId="5" fillId="11" borderId="85" xfId="0" applyFont="1" applyFill="1" applyBorder="1" applyAlignment="1">
      <alignment horizontal="left" vertical="center" wrapText="1"/>
    </xf>
    <xf numFmtId="0" fontId="5" fillId="11" borderId="78" xfId="0" applyFont="1" applyFill="1" applyBorder="1" applyAlignment="1">
      <alignment horizontal="left" vertical="center" wrapText="1"/>
    </xf>
    <xf numFmtId="1" fontId="74" fillId="59" borderId="0" xfId="0" applyNumberFormat="1" applyFont="1" applyFill="1" applyAlignment="1">
      <alignment/>
    </xf>
    <xf numFmtId="0" fontId="2" fillId="59" borderId="30" xfId="0" applyFont="1" applyFill="1" applyBorder="1" applyAlignment="1">
      <alignment horizontal="center" vertical="center" wrapText="1"/>
    </xf>
    <xf numFmtId="0" fontId="2" fillId="59" borderId="32" xfId="0" applyFont="1" applyFill="1" applyBorder="1" applyAlignment="1">
      <alignment horizontal="center" vertical="center" wrapText="1"/>
    </xf>
    <xf numFmtId="0" fontId="2" fillId="59" borderId="40" xfId="0" applyFont="1" applyFill="1" applyBorder="1" applyAlignment="1">
      <alignment horizontal="center" vertical="center" wrapText="1"/>
    </xf>
    <xf numFmtId="1" fontId="2" fillId="59" borderId="29" xfId="0" applyNumberFormat="1" applyFont="1" applyFill="1" applyBorder="1" applyAlignment="1">
      <alignment horizontal="center" vertical="center" wrapText="1"/>
    </xf>
    <xf numFmtId="1" fontId="2" fillId="59" borderId="73" xfId="0" applyNumberFormat="1" applyFont="1" applyFill="1" applyBorder="1" applyAlignment="1">
      <alignment horizontal="center" vertical="center" wrapText="1"/>
    </xf>
    <xf numFmtId="1" fontId="2" fillId="59" borderId="63" xfId="0" applyNumberFormat="1" applyFont="1" applyFill="1" applyBorder="1" applyAlignment="1">
      <alignment horizontal="center" vertical="center" wrapText="1"/>
    </xf>
    <xf numFmtId="0" fontId="2" fillId="59" borderId="63" xfId="0" applyFont="1" applyFill="1" applyBorder="1" applyAlignment="1">
      <alignment horizontal="center" vertical="center" wrapText="1"/>
    </xf>
    <xf numFmtId="3" fontId="2" fillId="0" borderId="0" xfId="1425" applyNumberFormat="1" applyFont="1" applyAlignment="1">
      <alignment vertical="center" wrapText="1"/>
      <protection/>
    </xf>
    <xf numFmtId="3" fontId="2" fillId="0" borderId="29" xfId="1425" applyNumberFormat="1" applyFont="1" applyBorder="1" applyAlignment="1">
      <alignment vertical="center" wrapText="1"/>
      <protection/>
    </xf>
    <xf numFmtId="0" fontId="139" fillId="17" borderId="29" xfId="1507" applyFont="1" applyFill="1" applyBorder="1" applyAlignment="1">
      <alignment vertical="center" wrapText="1"/>
      <protection/>
    </xf>
    <xf numFmtId="0" fontId="139" fillId="17" borderId="29" xfId="1507" applyFont="1" applyFill="1" applyBorder="1" applyAlignment="1">
      <alignment horizontal="left" vertical="center" wrapText="1"/>
      <protection/>
    </xf>
    <xf numFmtId="0" fontId="74" fillId="59" borderId="0" xfId="0" applyFont="1" applyFill="1" applyBorder="1" applyAlignment="1">
      <alignment/>
    </xf>
    <xf numFmtId="1" fontId="76" fillId="11" borderId="0" xfId="0" applyNumberFormat="1" applyFont="1" applyFill="1" applyBorder="1" applyAlignment="1">
      <alignment/>
    </xf>
    <xf numFmtId="3" fontId="76" fillId="11" borderId="0" xfId="0" applyNumberFormat="1" applyFont="1" applyFill="1" applyBorder="1" applyAlignment="1">
      <alignment/>
    </xf>
    <xf numFmtId="0" fontId="140" fillId="0" borderId="0" xfId="0" applyFont="1" applyAlignment="1">
      <alignment/>
    </xf>
    <xf numFmtId="3" fontId="140" fillId="0" borderId="0" xfId="0" applyNumberFormat="1" applyFont="1" applyAlignment="1">
      <alignment/>
    </xf>
    <xf numFmtId="3" fontId="140" fillId="11" borderId="63" xfId="0" applyNumberFormat="1" applyFont="1" applyFill="1" applyBorder="1" applyAlignment="1">
      <alignment vertical="center" wrapText="1"/>
    </xf>
    <xf numFmtId="3" fontId="140" fillId="11" borderId="33" xfId="0" applyNumberFormat="1" applyFont="1" applyFill="1" applyBorder="1" applyAlignment="1">
      <alignment vertical="center" wrapText="1"/>
    </xf>
    <xf numFmtId="3" fontId="140" fillId="11" borderId="88" xfId="0" applyNumberFormat="1" applyFont="1" applyFill="1" applyBorder="1" applyAlignment="1">
      <alignment vertical="center" wrapText="1"/>
    </xf>
    <xf numFmtId="3" fontId="140" fillId="11" borderId="29" xfId="0" applyNumberFormat="1" applyFont="1" applyFill="1" applyBorder="1" applyAlignment="1">
      <alignment vertical="center" wrapText="1"/>
    </xf>
    <xf numFmtId="3" fontId="140" fillId="11" borderId="31" xfId="0" applyNumberFormat="1" applyFont="1" applyFill="1" applyBorder="1" applyAlignment="1">
      <alignment vertical="center" wrapText="1"/>
    </xf>
    <xf numFmtId="3" fontId="140" fillId="11" borderId="89" xfId="0" applyNumberFormat="1" applyFont="1" applyFill="1" applyBorder="1" applyAlignment="1">
      <alignment vertical="center" wrapText="1"/>
    </xf>
    <xf numFmtId="3" fontId="141" fillId="59" borderId="29" xfId="0" applyNumberFormat="1" applyFont="1" applyFill="1" applyBorder="1" applyAlignment="1">
      <alignment vertical="center" wrapText="1"/>
    </xf>
    <xf numFmtId="3" fontId="141" fillId="59" borderId="33" xfId="0" applyNumberFormat="1" applyFont="1" applyFill="1" applyBorder="1" applyAlignment="1">
      <alignment vertical="center" wrapText="1"/>
    </xf>
    <xf numFmtId="3" fontId="141" fillId="59" borderId="88" xfId="0" applyNumberFormat="1" applyFont="1" applyFill="1" applyBorder="1" applyAlignment="1">
      <alignment vertical="center" wrapText="1"/>
    </xf>
    <xf numFmtId="3" fontId="142" fillId="0" borderId="81" xfId="0" applyNumberFormat="1" applyFont="1" applyBorder="1" applyAlignment="1">
      <alignment vertical="center" wrapText="1"/>
    </xf>
    <xf numFmtId="3" fontId="142" fillId="0" borderId="90" xfId="0" applyNumberFormat="1" applyFont="1" applyBorder="1" applyAlignment="1">
      <alignment vertical="center" wrapText="1"/>
    </xf>
    <xf numFmtId="3" fontId="140" fillId="59" borderId="75" xfId="0" applyNumberFormat="1" applyFont="1" applyFill="1" applyBorder="1" applyAlignment="1">
      <alignment vertical="center" wrapText="1"/>
    </xf>
    <xf numFmtId="3" fontId="140" fillId="59" borderId="91" xfId="0" applyNumberFormat="1" applyFont="1" applyFill="1" applyBorder="1" applyAlignment="1">
      <alignment vertical="center" wrapText="1"/>
    </xf>
    <xf numFmtId="3" fontId="140" fillId="59" borderId="92" xfId="0" applyNumberFormat="1" applyFont="1" applyFill="1" applyBorder="1" applyAlignment="1">
      <alignment vertical="center" wrapText="1"/>
    </xf>
    <xf numFmtId="3" fontId="140" fillId="11" borderId="81" xfId="0" applyNumberFormat="1" applyFont="1" applyFill="1" applyBorder="1" applyAlignment="1">
      <alignment vertical="center" wrapText="1"/>
    </xf>
    <xf numFmtId="3" fontId="140" fillId="11" borderId="93" xfId="0" applyNumberFormat="1" applyFont="1" applyFill="1" applyBorder="1" applyAlignment="1">
      <alignment vertical="center" wrapText="1"/>
    </xf>
    <xf numFmtId="3" fontId="140" fillId="11" borderId="90" xfId="0" applyNumberFormat="1" applyFont="1" applyFill="1" applyBorder="1" applyAlignment="1">
      <alignment vertical="center" wrapText="1"/>
    </xf>
    <xf numFmtId="3" fontId="140" fillId="59" borderId="64" xfId="0" applyNumberFormat="1" applyFont="1" applyFill="1" applyBorder="1" applyAlignment="1">
      <alignment vertical="center" wrapText="1"/>
    </xf>
    <xf numFmtId="3" fontId="140" fillId="59" borderId="63" xfId="0" applyNumberFormat="1" applyFont="1" applyFill="1" applyBorder="1" applyAlignment="1">
      <alignment vertical="center" wrapText="1"/>
    </xf>
    <xf numFmtId="3" fontId="140" fillId="59" borderId="33" xfId="0" applyNumberFormat="1" applyFont="1" applyFill="1" applyBorder="1" applyAlignment="1">
      <alignment vertical="center" wrapText="1"/>
    </xf>
    <xf numFmtId="3" fontId="140" fillId="59" borderId="88" xfId="0" applyNumberFormat="1" applyFont="1" applyFill="1" applyBorder="1" applyAlignment="1">
      <alignment vertical="center" wrapText="1"/>
    </xf>
    <xf numFmtId="3" fontId="140" fillId="59" borderId="29" xfId="0" applyNumberFormat="1" applyFont="1" applyFill="1" applyBorder="1" applyAlignment="1">
      <alignment vertical="center" wrapText="1"/>
    </xf>
    <xf numFmtId="3" fontId="142" fillId="0" borderId="93" xfId="0" applyNumberFormat="1" applyFont="1" applyBorder="1" applyAlignment="1">
      <alignment vertical="center" wrapText="1"/>
    </xf>
    <xf numFmtId="3" fontId="140" fillId="59" borderId="31" xfId="0" applyNumberFormat="1" applyFont="1" applyFill="1" applyBorder="1" applyAlignment="1">
      <alignment vertical="center" wrapText="1"/>
    </xf>
    <xf numFmtId="3" fontId="140" fillId="59" borderId="89" xfId="0" applyNumberFormat="1" applyFont="1" applyFill="1" applyBorder="1" applyAlignment="1">
      <alignment vertical="center" wrapText="1"/>
    </xf>
    <xf numFmtId="3" fontId="140" fillId="59" borderId="94" xfId="0" applyNumberFormat="1" applyFont="1" applyFill="1" applyBorder="1" applyAlignment="1">
      <alignment vertical="center" wrapText="1"/>
    </xf>
    <xf numFmtId="3" fontId="140" fillId="59" borderId="86" xfId="0" applyNumberFormat="1" applyFont="1" applyFill="1" applyBorder="1" applyAlignment="1">
      <alignment vertical="center" wrapText="1"/>
    </xf>
    <xf numFmtId="3" fontId="140" fillId="59" borderId="95" xfId="0" applyNumberFormat="1" applyFont="1" applyFill="1" applyBorder="1" applyAlignment="1">
      <alignment vertical="center" wrapText="1"/>
    </xf>
    <xf numFmtId="3" fontId="141" fillId="59" borderId="89" xfId="0" applyNumberFormat="1" applyFont="1" applyFill="1" applyBorder="1" applyAlignment="1">
      <alignment vertical="center" wrapText="1"/>
    </xf>
    <xf numFmtId="3" fontId="140" fillId="0" borderId="29" xfId="0" applyNumberFormat="1" applyFont="1" applyFill="1" applyBorder="1" applyAlignment="1">
      <alignment vertical="center" wrapText="1"/>
    </xf>
    <xf numFmtId="3" fontId="140" fillId="0" borderId="33" xfId="0" applyNumberFormat="1" applyFont="1" applyFill="1" applyBorder="1" applyAlignment="1">
      <alignment vertical="center" wrapText="1"/>
    </xf>
    <xf numFmtId="3" fontId="140" fillId="0" borderId="88" xfId="0" applyNumberFormat="1" applyFont="1" applyFill="1" applyBorder="1" applyAlignment="1">
      <alignment vertical="center" wrapText="1"/>
    </xf>
    <xf numFmtId="3" fontId="142" fillId="17" borderId="81" xfId="0" applyNumberFormat="1" applyFont="1" applyFill="1" applyBorder="1" applyAlignment="1">
      <alignment vertical="center" wrapText="1"/>
    </xf>
    <xf numFmtId="3" fontId="142" fillId="17" borderId="90" xfId="0" applyNumberFormat="1" applyFont="1" applyFill="1" applyBorder="1" applyAlignment="1">
      <alignment vertical="center" wrapText="1"/>
    </xf>
    <xf numFmtId="3" fontId="140" fillId="59" borderId="0" xfId="0" applyNumberFormat="1" applyFont="1" applyFill="1" applyAlignment="1">
      <alignment/>
    </xf>
    <xf numFmtId="0" fontId="140" fillId="59" borderId="0" xfId="0" applyFont="1" applyFill="1" applyAlignment="1">
      <alignment/>
    </xf>
    <xf numFmtId="0" fontId="138" fillId="0" borderId="78" xfId="0" applyFont="1" applyBorder="1" applyAlignment="1" applyProtection="1">
      <alignment vertical="center" wrapText="1"/>
      <protection locked="0"/>
    </xf>
    <xf numFmtId="1" fontId="2" fillId="59" borderId="30" xfId="0" applyNumberFormat="1" applyFont="1" applyFill="1" applyBorder="1" applyAlignment="1">
      <alignment horizontal="center" vertical="center" wrapText="1"/>
    </xf>
    <xf numFmtId="1" fontId="2" fillId="59" borderId="40" xfId="0" applyNumberFormat="1" applyFont="1" applyFill="1" applyBorder="1" applyAlignment="1">
      <alignment horizontal="center" vertical="center" wrapText="1"/>
    </xf>
    <xf numFmtId="1" fontId="2" fillId="59" borderId="32" xfId="0" applyNumberFormat="1" applyFont="1" applyFill="1" applyBorder="1" applyAlignment="1">
      <alignment horizontal="center" vertical="center" wrapText="1"/>
    </xf>
    <xf numFmtId="0" fontId="3" fillId="59" borderId="29" xfId="0" applyFont="1" applyFill="1" applyBorder="1" applyAlignment="1">
      <alignment horizontal="center" vertical="center" wrapText="1"/>
    </xf>
    <xf numFmtId="0" fontId="2" fillId="11" borderId="96" xfId="0" applyFont="1" applyFill="1" applyBorder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/>
    </xf>
    <xf numFmtId="3" fontId="143" fillId="0" borderId="0" xfId="0" applyNumberFormat="1" applyFont="1" applyAlignment="1">
      <alignment/>
    </xf>
    <xf numFmtId="0" fontId="4" fillId="0" borderId="0" xfId="0" applyFont="1" applyAlignment="1">
      <alignment/>
    </xf>
    <xf numFmtId="3" fontId="5" fillId="11" borderId="63" xfId="0" applyNumberFormat="1" applyFont="1" applyFill="1" applyBorder="1" applyAlignment="1">
      <alignment vertical="center" wrapText="1"/>
    </xf>
    <xf numFmtId="3" fontId="5" fillId="11" borderId="33" xfId="0" applyNumberFormat="1" applyFont="1" applyFill="1" applyBorder="1" applyAlignment="1">
      <alignment vertical="center" wrapText="1"/>
    </xf>
    <xf numFmtId="3" fontId="5" fillId="11" borderId="88" xfId="0" applyNumberFormat="1" applyFont="1" applyFill="1" applyBorder="1" applyAlignment="1">
      <alignment vertical="center" wrapText="1"/>
    </xf>
    <xf numFmtId="3" fontId="5" fillId="11" borderId="29" xfId="0" applyNumberFormat="1" applyFont="1" applyFill="1" applyBorder="1" applyAlignment="1">
      <alignment vertical="center" wrapText="1"/>
    </xf>
    <xf numFmtId="3" fontId="4" fillId="0" borderId="90" xfId="0" applyNumberFormat="1" applyFont="1" applyBorder="1" applyAlignment="1">
      <alignment vertical="center" wrapText="1"/>
    </xf>
    <xf numFmtId="3" fontId="5" fillId="59" borderId="29" xfId="0" applyNumberFormat="1" applyFont="1" applyFill="1" applyBorder="1" applyAlignment="1">
      <alignment vertical="center" wrapText="1"/>
    </xf>
    <xf numFmtId="3" fontId="5" fillId="59" borderId="33" xfId="0" applyNumberFormat="1" applyFont="1" applyFill="1" applyBorder="1" applyAlignment="1">
      <alignment vertical="center" wrapText="1"/>
    </xf>
    <xf numFmtId="3" fontId="5" fillId="59" borderId="88" xfId="0" applyNumberFormat="1" applyFont="1" applyFill="1" applyBorder="1" applyAlignment="1">
      <alignment vertical="center" wrapText="1"/>
    </xf>
    <xf numFmtId="3" fontId="5" fillId="59" borderId="75" xfId="0" applyNumberFormat="1" applyFont="1" applyFill="1" applyBorder="1" applyAlignment="1">
      <alignment vertical="center" wrapText="1"/>
    </xf>
    <xf numFmtId="3" fontId="5" fillId="59" borderId="91" xfId="0" applyNumberFormat="1" applyFont="1" applyFill="1" applyBorder="1" applyAlignment="1">
      <alignment vertical="center" wrapText="1"/>
    </xf>
    <xf numFmtId="3" fontId="5" fillId="59" borderId="92" xfId="0" applyNumberFormat="1" applyFont="1" applyFill="1" applyBorder="1" applyAlignment="1">
      <alignment vertical="center" wrapText="1"/>
    </xf>
    <xf numFmtId="3" fontId="12" fillId="59" borderId="29" xfId="0" applyNumberFormat="1" applyFont="1" applyFill="1" applyBorder="1" applyAlignment="1">
      <alignment vertical="center" wrapText="1"/>
    </xf>
    <xf numFmtId="3" fontId="12" fillId="59" borderId="33" xfId="0" applyNumberFormat="1" applyFont="1" applyFill="1" applyBorder="1" applyAlignment="1">
      <alignment vertical="center" wrapText="1"/>
    </xf>
    <xf numFmtId="3" fontId="12" fillId="59" borderId="88" xfId="0" applyNumberFormat="1" applyFont="1" applyFill="1" applyBorder="1" applyAlignment="1">
      <alignment vertical="center" wrapText="1"/>
    </xf>
    <xf numFmtId="2" fontId="9" fillId="0" borderId="0" xfId="0" applyNumberFormat="1" applyFont="1" applyAlignment="1">
      <alignment vertical="center" wrapText="1"/>
    </xf>
    <xf numFmtId="188" fontId="9" fillId="0" borderId="0" xfId="0" applyNumberFormat="1" applyFont="1" applyAlignment="1">
      <alignment vertical="center" wrapText="1"/>
    </xf>
    <xf numFmtId="188" fontId="1" fillId="0" borderId="0" xfId="0" applyNumberFormat="1" applyFont="1" applyAlignment="1">
      <alignment vertical="center" wrapText="1"/>
    </xf>
    <xf numFmtId="3" fontId="4" fillId="11" borderId="81" xfId="0" applyNumberFormat="1" applyFont="1" applyFill="1" applyBorder="1" applyAlignment="1">
      <alignment vertical="center" wrapText="1"/>
    </xf>
    <xf numFmtId="3" fontId="5" fillId="59" borderId="63" xfId="0" applyNumberFormat="1" applyFont="1" applyFill="1" applyBorder="1" applyAlignment="1">
      <alignment vertical="center" wrapText="1"/>
    </xf>
    <xf numFmtId="0" fontId="2" fillId="17" borderId="63" xfId="855" applyFont="1" applyFill="1" applyBorder="1" applyAlignment="1" applyProtection="1">
      <alignment horizontal="center" vertical="center" wrapText="1"/>
      <protection/>
    </xf>
    <xf numFmtId="0" fontId="12" fillId="0" borderId="83" xfId="0" applyFont="1" applyBorder="1" applyAlignment="1" applyProtection="1">
      <alignment/>
      <protection locked="0"/>
    </xf>
    <xf numFmtId="0" fontId="5" fillId="11" borderId="83" xfId="0" applyFont="1" applyFill="1" applyBorder="1" applyAlignment="1">
      <alignment vertical="center" wrapText="1"/>
    </xf>
    <xf numFmtId="0" fontId="80" fillId="11" borderId="29" xfId="0" applyFont="1" applyFill="1" applyBorder="1" applyAlignment="1">
      <alignment vertical="center" wrapText="1"/>
    </xf>
    <xf numFmtId="3" fontId="7" fillId="59" borderId="29" xfId="0" applyNumberFormat="1" applyFont="1" applyFill="1" applyBorder="1" applyAlignment="1">
      <alignment vertical="center" wrapText="1"/>
    </xf>
    <xf numFmtId="3" fontId="3" fillId="17" borderId="29" xfId="1507" applyNumberFormat="1" applyFont="1" applyFill="1" applyBorder="1" applyAlignment="1">
      <alignment vertical="center" wrapText="1"/>
      <protection/>
    </xf>
    <xf numFmtId="0" fontId="35" fillId="0" borderId="29" xfId="0" applyFont="1" applyBorder="1" applyAlignment="1">
      <alignment vertical="center" wrapText="1"/>
    </xf>
    <xf numFmtId="0" fontId="11" fillId="17" borderId="29" xfId="1425" applyFont="1" applyFill="1" applyBorder="1" applyAlignment="1">
      <alignment horizontal="center" vertical="center" wrapText="1"/>
      <protection/>
    </xf>
    <xf numFmtId="0" fontId="2" fillId="17" borderId="29" xfId="1425" applyFont="1" applyFill="1" applyBorder="1" applyAlignment="1">
      <alignment horizontal="center" vertical="center" wrapText="1"/>
      <protection/>
    </xf>
    <xf numFmtId="0" fontId="3" fillId="0" borderId="78" xfId="1425" applyFont="1" applyBorder="1" applyAlignment="1">
      <alignment vertical="center" wrapText="1"/>
      <protection/>
    </xf>
    <xf numFmtId="3" fontId="35" fillId="0" borderId="29" xfId="1425" applyNumberFormat="1" applyFont="1" applyBorder="1" applyAlignment="1">
      <alignment vertical="center" wrapText="1"/>
      <protection/>
    </xf>
    <xf numFmtId="0" fontId="3" fillId="0" borderId="79" xfId="1425" applyFont="1" applyBorder="1" applyAlignment="1">
      <alignment vertical="center" wrapText="1"/>
      <protection/>
    </xf>
    <xf numFmtId="0" fontId="3" fillId="0" borderId="84" xfId="1425" applyFont="1" applyBorder="1" applyAlignment="1">
      <alignment vertical="center" wrapText="1"/>
      <protection/>
    </xf>
    <xf numFmtId="3" fontId="3" fillId="0" borderId="64" xfId="1425" applyNumberFormat="1" applyFont="1" applyBorder="1" applyAlignment="1">
      <alignment vertical="center" wrapText="1"/>
      <protection/>
    </xf>
    <xf numFmtId="3" fontId="35" fillId="0" borderId="64" xfId="1425" applyNumberFormat="1" applyFont="1" applyBorder="1" applyAlignment="1">
      <alignment vertical="center" wrapText="1"/>
      <protection/>
    </xf>
    <xf numFmtId="0" fontId="2" fillId="0" borderId="78" xfId="1425" applyFont="1" applyBorder="1" applyAlignment="1">
      <alignment vertical="center" wrapText="1"/>
      <protection/>
    </xf>
    <xf numFmtId="3" fontId="11" fillId="0" borderId="63" xfId="1425" applyNumberFormat="1" applyFont="1" applyBorder="1" applyAlignment="1">
      <alignment vertical="center" wrapText="1"/>
      <protection/>
    </xf>
    <xf numFmtId="0" fontId="2" fillId="0" borderId="79" xfId="1425" applyFont="1" applyBorder="1" applyAlignment="1">
      <alignment vertical="center" wrapText="1"/>
      <protection/>
    </xf>
    <xf numFmtId="3" fontId="3" fillId="17" borderId="29" xfId="1425" applyNumberFormat="1" applyFont="1" applyFill="1" applyBorder="1" applyAlignment="1">
      <alignment vertical="center" wrapText="1"/>
      <protection/>
    </xf>
    <xf numFmtId="3" fontId="3" fillId="17" borderId="64" xfId="1425" applyNumberFormat="1" applyFont="1" applyFill="1" applyBorder="1" applyAlignment="1">
      <alignment vertical="center" wrapText="1"/>
      <protection/>
    </xf>
    <xf numFmtId="3" fontId="3" fillId="17" borderId="63" xfId="1425" applyNumberFormat="1" applyFont="1" applyFill="1" applyBorder="1" applyAlignment="1">
      <alignment vertical="center" wrapText="1"/>
      <protection/>
    </xf>
    <xf numFmtId="0" fontId="2" fillId="59" borderId="31" xfId="1425" applyFont="1" applyFill="1" applyBorder="1" applyAlignment="1">
      <alignment vertical="center" wrapText="1"/>
      <protection/>
    </xf>
    <xf numFmtId="3" fontId="3" fillId="59" borderId="97" xfId="1425" applyNumberFormat="1" applyFont="1" applyFill="1" applyBorder="1" applyAlignment="1">
      <alignment vertical="center" wrapText="1"/>
      <protection/>
    </xf>
    <xf numFmtId="3" fontId="2" fillId="59" borderId="97" xfId="1425" applyNumberFormat="1" applyFont="1" applyFill="1" applyBorder="1" applyAlignment="1">
      <alignment vertical="center" wrapText="1"/>
      <protection/>
    </xf>
    <xf numFmtId="3" fontId="11" fillId="59" borderId="97" xfId="1425" applyNumberFormat="1" applyFont="1" applyFill="1" applyBorder="1" applyAlignment="1">
      <alignment vertical="center" wrapText="1"/>
      <protection/>
    </xf>
    <xf numFmtId="3" fontId="2" fillId="59" borderId="66" xfId="1425" applyNumberFormat="1" applyFont="1" applyFill="1" applyBorder="1" applyAlignment="1">
      <alignment vertical="center" wrapText="1"/>
      <protection/>
    </xf>
    <xf numFmtId="0" fontId="134" fillId="0" borderId="0" xfId="0" applyFont="1" applyAlignment="1">
      <alignment/>
    </xf>
    <xf numFmtId="0" fontId="134" fillId="0" borderId="0" xfId="0" applyFont="1" applyAlignment="1">
      <alignment horizontal="right"/>
    </xf>
    <xf numFmtId="3" fontId="4" fillId="11" borderId="93" xfId="0" applyNumberFormat="1" applyFont="1" applyFill="1" applyBorder="1" applyAlignment="1">
      <alignment vertical="center" wrapText="1"/>
    </xf>
    <xf numFmtId="3" fontId="4" fillId="11" borderId="90" xfId="0" applyNumberFormat="1" applyFont="1" applyFill="1" applyBorder="1" applyAlignment="1">
      <alignment vertical="center" wrapText="1"/>
    </xf>
    <xf numFmtId="0" fontId="3" fillId="59" borderId="29" xfId="0" applyFont="1" applyFill="1" applyBorder="1" applyAlignment="1">
      <alignment horizontal="center" vertical="center" wrapText="1"/>
    </xf>
    <xf numFmtId="0" fontId="6" fillId="0" borderId="80" xfId="0" applyFont="1" applyBorder="1" applyAlignment="1">
      <alignment vertical="center" wrapText="1"/>
    </xf>
    <xf numFmtId="3" fontId="35" fillId="0" borderId="81" xfId="0" applyNumberFormat="1" applyFont="1" applyBorder="1" applyAlignment="1">
      <alignment vertical="center" wrapText="1"/>
    </xf>
    <xf numFmtId="0" fontId="11" fillId="11" borderId="31" xfId="0" applyFont="1" applyFill="1" applyBorder="1" applyAlignment="1">
      <alignment vertical="center" wrapText="1"/>
    </xf>
    <xf numFmtId="1" fontId="3" fillId="59" borderId="29" xfId="0" applyNumberFormat="1" applyFont="1" applyFill="1" applyBorder="1" applyAlignment="1">
      <alignment horizontal="center" vertical="center" wrapText="1"/>
    </xf>
    <xf numFmtId="0" fontId="2" fillId="11" borderId="98" xfId="0" applyFont="1" applyFill="1" applyBorder="1" applyAlignment="1">
      <alignment vertical="center" wrapText="1"/>
    </xf>
    <xf numFmtId="1" fontId="134" fillId="59" borderId="30" xfId="0" applyNumberFormat="1" applyFont="1" applyFill="1" applyBorder="1" applyAlignment="1">
      <alignment horizontal="center" vertical="center" wrapText="1"/>
    </xf>
    <xf numFmtId="0" fontId="134" fillId="59" borderId="30" xfId="0" applyFont="1" applyFill="1" applyBorder="1" applyAlignment="1">
      <alignment horizontal="center" vertical="center" wrapText="1"/>
    </xf>
    <xf numFmtId="0" fontId="144" fillId="59" borderId="30" xfId="0" applyFont="1" applyFill="1" applyBorder="1" applyAlignment="1">
      <alignment horizontal="center" vertical="center" wrapText="1"/>
    </xf>
    <xf numFmtId="1" fontId="145" fillId="11" borderId="40" xfId="0" applyNumberFormat="1" applyFont="1" applyFill="1" applyBorder="1" applyAlignment="1">
      <alignment horizontal="center" vertical="center" wrapText="1"/>
    </xf>
    <xf numFmtId="3" fontId="145" fillId="59" borderId="99" xfId="0" applyNumberFormat="1" applyFont="1" applyFill="1" applyBorder="1" applyAlignment="1">
      <alignment horizontal="center" vertical="center" wrapText="1"/>
    </xf>
    <xf numFmtId="1" fontId="146" fillId="59" borderId="3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11" borderId="0" xfId="0" applyFont="1" applyFill="1" applyAlignment="1">
      <alignment horizontal="right"/>
    </xf>
    <xf numFmtId="0" fontId="2" fillId="59" borderId="0" xfId="0" applyFont="1" applyFill="1" applyAlignment="1">
      <alignment horizontal="right"/>
    </xf>
    <xf numFmtId="1" fontId="74" fillId="11" borderId="0" xfId="0" applyNumberFormat="1" applyFont="1" applyFill="1" applyAlignment="1">
      <alignment vertical="center" wrapText="1"/>
    </xf>
    <xf numFmtId="0" fontId="12" fillId="11" borderId="45" xfId="0" applyFont="1" applyFill="1" applyBorder="1" applyAlignment="1">
      <alignment horizontal="center" vertical="center" wrapText="1"/>
    </xf>
    <xf numFmtId="0" fontId="12" fillId="11" borderId="50" xfId="0" applyFont="1" applyFill="1" applyBorder="1" applyAlignment="1">
      <alignment vertical="center" wrapText="1"/>
    </xf>
    <xf numFmtId="188" fontId="12" fillId="11" borderId="63" xfId="0" applyNumberFormat="1" applyFont="1" applyFill="1" applyBorder="1" applyAlignment="1">
      <alignment horizontal="center" vertical="center" wrapText="1"/>
    </xf>
    <xf numFmtId="0" fontId="81" fillId="59" borderId="0" xfId="0" applyFont="1" applyFill="1" applyAlignment="1">
      <alignment/>
    </xf>
    <xf numFmtId="1" fontId="81" fillId="11" borderId="0" xfId="0" applyNumberFormat="1" applyFont="1" applyFill="1" applyAlignment="1">
      <alignment/>
    </xf>
    <xf numFmtId="3" fontId="81" fillId="11" borderId="0" xfId="0" applyNumberFormat="1" applyFont="1" applyFill="1" applyAlignment="1">
      <alignment/>
    </xf>
    <xf numFmtId="0" fontId="3" fillId="59" borderId="29" xfId="0" applyFont="1" applyFill="1" applyBorder="1" applyAlignment="1">
      <alignment horizontal="center" vertical="center" wrapText="1"/>
    </xf>
    <xf numFmtId="0" fontId="1" fillId="0" borderId="0" xfId="919" applyFont="1">
      <alignment/>
      <protection/>
    </xf>
    <xf numFmtId="0" fontId="147" fillId="0" borderId="0" xfId="919" applyFont="1">
      <alignment/>
      <protection/>
    </xf>
    <xf numFmtId="2" fontId="147" fillId="59" borderId="29" xfId="1507" applyNumberFormat="1" applyFont="1" applyFill="1" applyBorder="1" applyAlignment="1">
      <alignment vertical="center" wrapText="1"/>
      <protection/>
    </xf>
    <xf numFmtId="4" fontId="147" fillId="59" borderId="29" xfId="1507" applyNumberFormat="1" applyFont="1" applyFill="1" applyBorder="1">
      <alignment/>
      <protection/>
    </xf>
    <xf numFmtId="2" fontId="148" fillId="59" borderId="29" xfId="1507" applyNumberFormat="1" applyFont="1" applyFill="1" applyBorder="1" applyAlignment="1">
      <alignment vertical="center" wrapText="1"/>
      <protection/>
    </xf>
    <xf numFmtId="4" fontId="148" fillId="59" borderId="29" xfId="1507" applyNumberFormat="1" applyFont="1" applyFill="1" applyBorder="1" applyAlignment="1">
      <alignment vertical="center" wrapText="1"/>
      <protection/>
    </xf>
    <xf numFmtId="2" fontId="149" fillId="59" borderId="29" xfId="1507" applyNumberFormat="1" applyFont="1" applyFill="1" applyBorder="1" applyAlignment="1">
      <alignment horizontal="center" vertical="center" wrapText="1"/>
      <protection/>
    </xf>
    <xf numFmtId="0" fontId="147" fillId="0" borderId="0" xfId="919" applyFont="1" applyAlignment="1">
      <alignment horizontal="right"/>
      <protection/>
    </xf>
    <xf numFmtId="4" fontId="148" fillId="59" borderId="29" xfId="1507" applyNumberFormat="1" applyFont="1" applyFill="1" applyBorder="1">
      <alignment/>
      <protection/>
    </xf>
    <xf numFmtId="0" fontId="150" fillId="11" borderId="39" xfId="0" applyFont="1" applyFill="1" applyBorder="1" applyAlignment="1">
      <alignment horizontal="center" vertical="center" wrapText="1"/>
    </xf>
    <xf numFmtId="0" fontId="14" fillId="11" borderId="31" xfId="0" applyFont="1" applyFill="1" applyBorder="1" applyAlignment="1">
      <alignment vertical="center" wrapText="1"/>
    </xf>
    <xf numFmtId="0" fontId="11" fillId="11" borderId="30" xfId="0" applyFont="1" applyFill="1" applyBorder="1" applyAlignment="1">
      <alignment horizontal="center" vertical="center" wrapText="1"/>
    </xf>
    <xf numFmtId="0" fontId="78" fillId="11" borderId="0" xfId="0" applyFont="1" applyFill="1" applyBorder="1" applyAlignment="1">
      <alignment/>
    </xf>
    <xf numFmtId="0" fontId="12" fillId="0" borderId="30" xfId="0" applyFont="1" applyFill="1" applyBorder="1" applyAlignment="1">
      <alignment horizontal="center" vertical="center" wrapText="1"/>
    </xf>
    <xf numFmtId="0" fontId="135" fillId="11" borderId="49" xfId="0" applyFont="1" applyFill="1" applyBorder="1" applyAlignment="1">
      <alignment horizontal="center" vertical="center" wrapText="1"/>
    </xf>
    <xf numFmtId="0" fontId="135" fillId="11" borderId="49" xfId="0" applyFont="1" applyFill="1" applyBorder="1" applyAlignment="1">
      <alignment vertical="center" wrapText="1"/>
    </xf>
    <xf numFmtId="3" fontId="151" fillId="59" borderId="0" xfId="0" applyNumberFormat="1" applyFont="1" applyFill="1" applyAlignment="1">
      <alignment/>
    </xf>
    <xf numFmtId="49" fontId="2" fillId="0" borderId="63" xfId="2078" applyNumberFormat="1" applyFont="1" applyBorder="1" applyAlignment="1">
      <alignment horizontal="center" vertical="center"/>
      <protection/>
    </xf>
    <xf numFmtId="0" fontId="2" fillId="60" borderId="70" xfId="2078" applyFont="1" applyFill="1" applyBorder="1" applyAlignment="1">
      <alignment vertical="center" wrapText="1"/>
      <protection/>
    </xf>
    <xf numFmtId="4" fontId="134" fillId="0" borderId="29" xfId="2078" applyNumberFormat="1" applyFont="1" applyBorder="1" applyAlignment="1">
      <alignment horizontal="right" vertical="center"/>
      <protection/>
    </xf>
    <xf numFmtId="4" fontId="152" fillId="15" borderId="29" xfId="0" applyNumberFormat="1" applyFont="1" applyFill="1" applyBorder="1" applyAlignment="1">
      <alignment horizontal="right" vertical="center"/>
    </xf>
    <xf numFmtId="49" fontId="2" fillId="0" borderId="29" xfId="2078" applyNumberFormat="1" applyFont="1" applyBorder="1" applyAlignment="1">
      <alignment horizontal="center" vertical="center"/>
      <protection/>
    </xf>
    <xf numFmtId="0" fontId="2" fillId="60" borderId="66" xfId="2078" applyFont="1" applyFill="1" applyBorder="1" applyAlignment="1">
      <alignment vertical="center" wrapText="1"/>
      <protection/>
    </xf>
    <xf numFmtId="0" fontId="2" fillId="0" borderId="66" xfId="2078" applyFont="1" applyBorder="1" applyAlignment="1">
      <alignment vertical="center" wrapText="1"/>
      <protection/>
    </xf>
    <xf numFmtId="4" fontId="145" fillId="0" borderId="29" xfId="2078" applyNumberFormat="1" applyFont="1" applyBorder="1" applyAlignment="1">
      <alignment horizontal="right" vertical="center"/>
      <protection/>
    </xf>
    <xf numFmtId="0" fontId="145" fillId="0" borderId="29" xfId="2078" applyFont="1" applyBorder="1" applyAlignment="1">
      <alignment vertical="center"/>
      <protection/>
    </xf>
    <xf numFmtId="4" fontId="134" fillId="0" borderId="0" xfId="0" applyNumberFormat="1" applyFont="1" applyAlignment="1">
      <alignment/>
    </xf>
    <xf numFmtId="2" fontId="1" fillId="0" borderId="0" xfId="0" applyNumberFormat="1" applyFont="1" applyAlignment="1">
      <alignment vertical="center" wrapText="1"/>
    </xf>
    <xf numFmtId="0" fontId="82" fillId="0" borderId="29" xfId="0" applyFont="1" applyBorder="1" applyAlignment="1">
      <alignment vertical="center" wrapText="1"/>
    </xf>
    <xf numFmtId="49" fontId="2" fillId="0" borderId="29" xfId="1507" applyNumberFormat="1" applyFont="1" applyFill="1" applyBorder="1" applyAlignment="1">
      <alignment horizontal="center" vertical="center" wrapText="1"/>
      <protection/>
    </xf>
    <xf numFmtId="4" fontId="134" fillId="59" borderId="29" xfId="2078" applyNumberFormat="1" applyFont="1" applyFill="1" applyBorder="1" applyAlignment="1">
      <alignment horizontal="right" vertical="center"/>
      <protection/>
    </xf>
    <xf numFmtId="49" fontId="3" fillId="0" borderId="29" xfId="2078" applyNumberFormat="1" applyFont="1" applyBorder="1" applyAlignment="1">
      <alignment horizontal="center" vertical="center"/>
      <protection/>
    </xf>
    <xf numFmtId="0" fontId="3" fillId="60" borderId="66" xfId="2078" applyFont="1" applyFill="1" applyBorder="1" applyAlignment="1">
      <alignment vertical="center" wrapText="1"/>
      <protection/>
    </xf>
    <xf numFmtId="0" fontId="145" fillId="0" borderId="0" xfId="0" applyFont="1" applyAlignment="1">
      <alignment/>
    </xf>
    <xf numFmtId="0" fontId="4" fillId="0" borderId="0" xfId="0" applyFont="1" applyAlignment="1">
      <alignment horizontal="right" wrapText="1"/>
    </xf>
    <xf numFmtId="3" fontId="12" fillId="11" borderId="63" xfId="0" applyNumberFormat="1" applyFont="1" applyFill="1" applyBorder="1" applyAlignment="1">
      <alignment horizontal="center" vertical="center" wrapText="1"/>
    </xf>
    <xf numFmtId="4" fontId="145" fillId="0" borderId="0" xfId="0" applyNumberFormat="1" applyFont="1" applyAlignment="1">
      <alignment wrapText="1"/>
    </xf>
    <xf numFmtId="4" fontId="134" fillId="0" borderId="0" xfId="0" applyNumberFormat="1" applyFont="1" applyAlignment="1">
      <alignment wrapText="1"/>
    </xf>
    <xf numFmtId="4" fontId="145" fillId="0" borderId="0" xfId="0" applyNumberFormat="1" applyFont="1" applyAlignment="1">
      <alignment/>
    </xf>
    <xf numFmtId="0" fontId="3" fillId="59" borderId="0" xfId="0" applyFont="1" applyFill="1" applyAlignment="1">
      <alignment horizontal="center" vertical="center" wrapText="1"/>
    </xf>
    <xf numFmtId="0" fontId="11" fillId="11" borderId="55" xfId="0" applyFont="1" applyFill="1" applyBorder="1" applyAlignment="1">
      <alignment horizontal="center" vertical="center" wrapText="1"/>
    </xf>
    <xf numFmtId="0" fontId="2" fillId="59" borderId="36" xfId="0" applyFont="1" applyFill="1" applyBorder="1" applyAlignment="1">
      <alignment horizontal="center" vertical="center" wrapText="1"/>
    </xf>
    <xf numFmtId="0" fontId="2" fillId="59" borderId="100" xfId="0" applyFont="1" applyFill="1" applyBorder="1" applyAlignment="1">
      <alignment horizontal="center" vertical="center" wrapText="1"/>
    </xf>
    <xf numFmtId="0" fontId="2" fillId="11" borderId="10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3" fontId="5" fillId="59" borderId="102" xfId="0" applyNumberFormat="1" applyFont="1" applyFill="1" applyBorder="1" applyAlignment="1">
      <alignment vertical="center" wrapText="1"/>
    </xf>
    <xf numFmtId="3" fontId="5" fillId="59" borderId="95" xfId="0" applyNumberFormat="1" applyFont="1" applyFill="1" applyBorder="1" applyAlignment="1">
      <alignment vertical="center" wrapText="1"/>
    </xf>
    <xf numFmtId="3" fontId="5" fillId="59" borderId="31" xfId="0" applyNumberFormat="1" applyFont="1" applyFill="1" applyBorder="1" applyAlignment="1">
      <alignment vertical="center" wrapText="1"/>
    </xf>
    <xf numFmtId="3" fontId="5" fillId="59" borderId="89" xfId="0" applyNumberFormat="1" applyFont="1" applyFill="1" applyBorder="1" applyAlignment="1">
      <alignment vertical="center" wrapText="1"/>
    </xf>
    <xf numFmtId="1" fontId="153" fillId="59" borderId="30" xfId="0" applyNumberFormat="1" applyFont="1" applyFill="1" applyBorder="1" applyAlignment="1">
      <alignment horizontal="center" vertical="center" wrapText="1"/>
    </xf>
    <xf numFmtId="188" fontId="11" fillId="59" borderId="30" xfId="0" applyNumberFormat="1" applyFont="1" applyFill="1" applyBorder="1" applyAlignment="1">
      <alignment horizontal="center" vertical="center" wrapText="1"/>
    </xf>
    <xf numFmtId="1" fontId="136" fillId="11" borderId="32" xfId="0" applyNumberFormat="1" applyFont="1" applyFill="1" applyBorder="1" applyAlignment="1">
      <alignment horizontal="center" vertical="center" wrapText="1"/>
    </xf>
    <xf numFmtId="1" fontId="2" fillId="59" borderId="68" xfId="0" applyNumberFormat="1" applyFont="1" applyFill="1" applyBorder="1" applyAlignment="1">
      <alignment horizontal="center" vertical="center" wrapText="1"/>
    </xf>
    <xf numFmtId="1" fontId="2" fillId="59" borderId="59" xfId="0" applyNumberFormat="1" applyFont="1" applyFill="1" applyBorder="1" applyAlignment="1">
      <alignment horizontal="center" vertical="center" wrapText="1"/>
    </xf>
    <xf numFmtId="0" fontId="154" fillId="59" borderId="30" xfId="0" applyFont="1" applyFill="1" applyBorder="1" applyAlignment="1">
      <alignment horizontal="center" vertical="center" wrapText="1"/>
    </xf>
    <xf numFmtId="0" fontId="2" fillId="59" borderId="59" xfId="0" applyFont="1" applyFill="1" applyBorder="1" applyAlignment="1">
      <alignment horizontal="center" vertical="center" wrapText="1"/>
    </xf>
    <xf numFmtId="0" fontId="3" fillId="59" borderId="40" xfId="0" applyFont="1" applyFill="1" applyBorder="1" applyAlignment="1">
      <alignment horizontal="center" vertical="center" wrapText="1"/>
    </xf>
    <xf numFmtId="3" fontId="35" fillId="59" borderId="30" xfId="0" applyNumberFormat="1" applyFont="1" applyFill="1" applyBorder="1" applyAlignment="1">
      <alignment horizontal="center" vertical="center" wrapText="1"/>
    </xf>
    <xf numFmtId="3" fontId="35" fillId="59" borderId="72" xfId="0" applyNumberFormat="1" applyFont="1" applyFill="1" applyBorder="1" applyAlignment="1">
      <alignment horizontal="center" vertical="center" wrapText="1"/>
    </xf>
    <xf numFmtId="0" fontId="2" fillId="59" borderId="103" xfId="0" applyFont="1" applyFill="1" applyBorder="1" applyAlignment="1">
      <alignment horizontal="center" vertical="center" wrapText="1"/>
    </xf>
    <xf numFmtId="0" fontId="12" fillId="59" borderId="103" xfId="0" applyFont="1" applyFill="1" applyBorder="1" applyAlignment="1">
      <alignment horizontal="center" vertical="center" wrapText="1"/>
    </xf>
    <xf numFmtId="1" fontId="12" fillId="59" borderId="63" xfId="0" applyNumberFormat="1" applyFont="1" applyFill="1" applyBorder="1" applyAlignment="1">
      <alignment horizontal="center" vertical="center" wrapText="1"/>
    </xf>
    <xf numFmtId="188" fontId="2" fillId="59" borderId="29" xfId="0" applyNumberFormat="1" applyFont="1" applyFill="1" applyBorder="1" applyAlignment="1">
      <alignment horizontal="center" vertical="center" wrapText="1"/>
    </xf>
    <xf numFmtId="0" fontId="134" fillId="59" borderId="32" xfId="0" applyFont="1" applyFill="1" applyBorder="1" applyAlignment="1">
      <alignment horizontal="center" vertical="center" wrapText="1"/>
    </xf>
    <xf numFmtId="0" fontId="2" fillId="11" borderId="31" xfId="0" applyFont="1" applyFill="1" applyBorder="1" applyAlignment="1">
      <alignment horizontal="center" vertical="center" wrapText="1"/>
    </xf>
    <xf numFmtId="0" fontId="3" fillId="11" borderId="35" xfId="0" applyFont="1" applyFill="1" applyBorder="1" applyAlignment="1">
      <alignment horizontal="center" vertical="center" wrapText="1"/>
    </xf>
    <xf numFmtId="3" fontId="5" fillId="59" borderId="86" xfId="0" applyNumberFormat="1" applyFont="1" applyFill="1" applyBorder="1" applyAlignment="1">
      <alignment vertical="center" wrapText="1"/>
    </xf>
    <xf numFmtId="3" fontId="12" fillId="59" borderId="75" xfId="0" applyNumberFormat="1" applyFont="1" applyFill="1" applyBorder="1" applyAlignment="1">
      <alignment vertical="center" wrapText="1"/>
    </xf>
    <xf numFmtId="3" fontId="12" fillId="59" borderId="91" xfId="0" applyNumberFormat="1" applyFont="1" applyFill="1" applyBorder="1" applyAlignment="1">
      <alignment vertical="center" wrapText="1"/>
    </xf>
    <xf numFmtId="3" fontId="12" fillId="59" borderId="92" xfId="0" applyNumberFormat="1" applyFont="1" applyFill="1" applyBorder="1" applyAlignment="1">
      <alignment vertical="center" wrapText="1"/>
    </xf>
    <xf numFmtId="0" fontId="140" fillId="0" borderId="79" xfId="0" applyFont="1" applyBorder="1" applyAlignment="1">
      <alignment/>
    </xf>
    <xf numFmtId="3" fontId="5" fillId="59" borderId="29" xfId="0" applyNumberFormat="1" applyFont="1" applyFill="1" applyBorder="1" applyAlignment="1">
      <alignment horizontal="center"/>
    </xf>
    <xf numFmtId="3" fontId="5" fillId="59" borderId="31" xfId="0" applyNumberFormat="1" applyFont="1" applyFill="1" applyBorder="1" applyAlignment="1">
      <alignment horizontal="center"/>
    </xf>
    <xf numFmtId="3" fontId="5" fillId="59" borderId="63" xfId="0" applyNumberFormat="1" applyFont="1" applyFill="1" applyBorder="1" applyAlignment="1">
      <alignment horizontal="center"/>
    </xf>
    <xf numFmtId="3" fontId="5" fillId="59" borderId="33" xfId="0" applyNumberFormat="1" applyFont="1" applyFill="1" applyBorder="1" applyAlignment="1">
      <alignment horizontal="center"/>
    </xf>
    <xf numFmtId="0" fontId="140" fillId="0" borderId="84" xfId="0" applyFont="1" applyBorder="1" applyAlignment="1">
      <alignment/>
    </xf>
    <xf numFmtId="3" fontId="5" fillId="59" borderId="64" xfId="0" applyNumberFormat="1" applyFont="1" applyFill="1" applyBorder="1" applyAlignment="1">
      <alignment horizontal="center"/>
    </xf>
    <xf numFmtId="0" fontId="142" fillId="57" borderId="80" xfId="0" applyFont="1" applyFill="1" applyBorder="1" applyAlignment="1">
      <alignment horizontal="right"/>
    </xf>
    <xf numFmtId="3" fontId="142" fillId="57" borderId="81" xfId="0" applyNumberFormat="1" applyFont="1" applyFill="1" applyBorder="1" applyAlignment="1">
      <alignment horizontal="center"/>
    </xf>
    <xf numFmtId="3" fontId="142" fillId="57" borderId="93" xfId="0" applyNumberFormat="1" applyFont="1" applyFill="1" applyBorder="1" applyAlignment="1">
      <alignment horizontal="center"/>
    </xf>
    <xf numFmtId="3" fontId="142" fillId="57" borderId="104" xfId="0" applyNumberFormat="1" applyFont="1" applyFill="1" applyBorder="1" applyAlignment="1">
      <alignment horizontal="center"/>
    </xf>
    <xf numFmtId="3" fontId="142" fillId="57" borderId="105" xfId="0" applyNumberFormat="1" applyFont="1" applyFill="1" applyBorder="1" applyAlignment="1">
      <alignment horizontal="center"/>
    </xf>
    <xf numFmtId="3" fontId="142" fillId="57" borderId="106" xfId="0" applyNumberFormat="1" applyFont="1" applyFill="1" applyBorder="1" applyAlignment="1">
      <alignment horizontal="center"/>
    </xf>
    <xf numFmtId="3" fontId="142" fillId="57" borderId="107" xfId="0" applyNumberFormat="1" applyFont="1" applyFill="1" applyBorder="1" applyAlignment="1">
      <alignment horizontal="center"/>
    </xf>
    <xf numFmtId="0" fontId="140" fillId="0" borderId="78" xfId="0" applyNumberFormat="1" applyFont="1" applyBorder="1" applyAlignment="1">
      <alignment vertical="center" wrapText="1"/>
    </xf>
    <xf numFmtId="3" fontId="155" fillId="0" borderId="63" xfId="0" applyNumberFormat="1" applyFont="1" applyFill="1" applyBorder="1" applyAlignment="1">
      <alignment vertical="center" wrapText="1"/>
    </xf>
    <xf numFmtId="3" fontId="156" fillId="59" borderId="33" xfId="0" applyNumberFormat="1" applyFont="1" applyFill="1" applyBorder="1" applyAlignment="1">
      <alignment vertical="center" wrapText="1"/>
    </xf>
    <xf numFmtId="3" fontId="156" fillId="59" borderId="88" xfId="0" applyNumberFormat="1" applyFont="1" applyFill="1" applyBorder="1" applyAlignment="1">
      <alignment vertical="center" wrapText="1"/>
    </xf>
    <xf numFmtId="0" fontId="156" fillId="0" borderId="0" xfId="0" applyFont="1" applyAlignment="1">
      <alignment/>
    </xf>
    <xf numFmtId="3" fontId="156" fillId="0" borderId="0" xfId="0" applyNumberFormat="1" applyFont="1" applyAlignment="1">
      <alignment/>
    </xf>
    <xf numFmtId="0" fontId="157" fillId="57" borderId="108" xfId="0" applyFont="1" applyFill="1" applyBorder="1" applyAlignment="1">
      <alignment horizontal="center" vertical="center" wrapText="1"/>
    </xf>
    <xf numFmtId="3" fontId="157" fillId="0" borderId="63" xfId="0" applyNumberFormat="1" applyFont="1" applyBorder="1" applyAlignment="1">
      <alignment horizontal="center"/>
    </xf>
    <xf numFmtId="3" fontId="157" fillId="0" borderId="29" xfId="0" applyNumberFormat="1" applyFont="1" applyBorder="1" applyAlignment="1">
      <alignment horizontal="center"/>
    </xf>
    <xf numFmtId="3" fontId="157" fillId="26" borderId="29" xfId="0" applyNumberFormat="1" applyFont="1" applyFill="1" applyBorder="1" applyAlignment="1">
      <alignment horizontal="center"/>
    </xf>
    <xf numFmtId="3" fontId="157" fillId="0" borderId="64" xfId="0" applyNumberFormat="1" applyFont="1" applyBorder="1" applyAlignment="1">
      <alignment horizontal="center"/>
    </xf>
    <xf numFmtId="3" fontId="158" fillId="57" borderId="81" xfId="0" applyNumberFormat="1" applyFont="1" applyFill="1" applyBorder="1" applyAlignment="1">
      <alignment horizontal="center"/>
    </xf>
    <xf numFmtId="0" fontId="156" fillId="0" borderId="78" xfId="0" applyFont="1" applyBorder="1" applyAlignment="1" applyProtection="1">
      <alignment vertical="center" wrapText="1"/>
      <protection locked="0"/>
    </xf>
    <xf numFmtId="3" fontId="156" fillId="59" borderId="29" xfId="0" applyNumberFormat="1" applyFont="1" applyFill="1" applyBorder="1" applyAlignment="1">
      <alignment vertical="center" wrapText="1"/>
    </xf>
    <xf numFmtId="3" fontId="143" fillId="59" borderId="29" xfId="0" applyNumberFormat="1" applyFont="1" applyFill="1" applyBorder="1" applyAlignment="1">
      <alignment vertical="center" wrapText="1"/>
    </xf>
    <xf numFmtId="3" fontId="143" fillId="59" borderId="31" xfId="0" applyNumberFormat="1" applyFont="1" applyFill="1" applyBorder="1" applyAlignment="1">
      <alignment vertical="center" wrapText="1"/>
    </xf>
    <xf numFmtId="3" fontId="143" fillId="59" borderId="89" xfId="0" applyNumberFormat="1" applyFont="1" applyFill="1" applyBorder="1" applyAlignment="1">
      <alignment vertical="center" wrapText="1"/>
    </xf>
    <xf numFmtId="0" fontId="143" fillId="0" borderId="0" xfId="0" applyFont="1" applyAlignment="1">
      <alignment/>
    </xf>
    <xf numFmtId="0" fontId="159" fillId="0" borderId="0" xfId="0" applyFont="1" applyAlignment="1">
      <alignment/>
    </xf>
    <xf numFmtId="1" fontId="159" fillId="0" borderId="0" xfId="0" applyNumberFormat="1" applyFont="1" applyAlignment="1">
      <alignment/>
    </xf>
    <xf numFmtId="0" fontId="155" fillId="0" borderId="78" xfId="0" applyFont="1" applyBorder="1" applyAlignment="1" applyProtection="1">
      <alignment vertical="center" wrapText="1"/>
      <protection locked="0"/>
    </xf>
    <xf numFmtId="1" fontId="159" fillId="0" borderId="0" xfId="0" applyNumberFormat="1" applyFont="1" applyAlignment="1">
      <alignment vertical="center" wrapText="1"/>
    </xf>
    <xf numFmtId="0" fontId="11" fillId="59" borderId="29" xfId="0" applyFont="1" applyFill="1" applyBorder="1" applyAlignment="1">
      <alignment vertical="center" wrapText="1"/>
    </xf>
    <xf numFmtId="3" fontId="11" fillId="0" borderId="29" xfId="0" applyNumberFormat="1" applyFont="1" applyBorder="1" applyAlignment="1">
      <alignment vertical="center" wrapText="1"/>
    </xf>
    <xf numFmtId="1" fontId="4" fillId="0" borderId="0" xfId="0" applyNumberFormat="1" applyFont="1" applyAlignment="1">
      <alignment/>
    </xf>
    <xf numFmtId="4" fontId="134" fillId="0" borderId="29" xfId="2078" applyNumberFormat="1" applyFont="1" applyBorder="1" applyAlignment="1">
      <alignment horizontal="center" vertical="center"/>
      <protection/>
    </xf>
    <xf numFmtId="0" fontId="85" fillId="11" borderId="63" xfId="0" applyFont="1" applyFill="1" applyBorder="1" applyAlignment="1">
      <alignment vertical="center" wrapText="1"/>
    </xf>
    <xf numFmtId="3" fontId="69" fillId="59" borderId="70" xfId="0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3" fontId="7" fillId="59" borderId="64" xfId="0" applyNumberFormat="1" applyFont="1" applyFill="1" applyBorder="1" applyAlignment="1">
      <alignment horizontal="center" vertical="center" wrapText="1"/>
    </xf>
    <xf numFmtId="3" fontId="7" fillId="59" borderId="29" xfId="0" applyNumberFormat="1" applyFont="1" applyFill="1" applyBorder="1" applyAlignment="1">
      <alignment horizontal="center" vertical="center" wrapText="1"/>
    </xf>
    <xf numFmtId="3" fontId="69" fillId="59" borderId="70" xfId="0" applyNumberFormat="1" applyFont="1" applyFill="1" applyBorder="1" applyAlignment="1">
      <alignment horizontal="center" vertical="center" wrapText="1"/>
    </xf>
    <xf numFmtId="3" fontId="5" fillId="59" borderId="70" xfId="0" applyNumberFormat="1" applyFont="1" applyFill="1" applyBorder="1" applyAlignment="1">
      <alignment horizontal="center" vertical="center" wrapText="1"/>
    </xf>
    <xf numFmtId="3" fontId="4" fillId="17" borderId="63" xfId="0" applyNumberFormat="1" applyFont="1" applyFill="1" applyBorder="1" applyAlignment="1">
      <alignment horizontal="center" vertical="center" wrapText="1"/>
    </xf>
    <xf numFmtId="0" fontId="160" fillId="0" borderId="0" xfId="0" applyFont="1" applyAlignment="1">
      <alignment vertical="center" wrapText="1"/>
    </xf>
    <xf numFmtId="2" fontId="160" fillId="0" borderId="0" xfId="0" applyNumberFormat="1" applyFont="1" applyAlignment="1">
      <alignment vertical="center" wrapText="1"/>
    </xf>
    <xf numFmtId="0" fontId="161" fillId="0" borderId="0" xfId="0" applyFont="1" applyAlignment="1">
      <alignment vertical="center" wrapText="1"/>
    </xf>
    <xf numFmtId="2" fontId="161" fillId="0" borderId="0" xfId="0" applyNumberFormat="1" applyFont="1" applyAlignment="1">
      <alignment vertical="center" wrapText="1"/>
    </xf>
    <xf numFmtId="2" fontId="10" fillId="0" borderId="0" xfId="0" applyNumberFormat="1" applyFont="1" applyAlignment="1">
      <alignment vertical="center" wrapText="1"/>
    </xf>
    <xf numFmtId="2" fontId="86" fillId="0" borderId="0" xfId="0" applyNumberFormat="1" applyFont="1" applyAlignment="1">
      <alignment vertical="center" wrapText="1"/>
    </xf>
    <xf numFmtId="0" fontId="12" fillId="59" borderId="29" xfId="1507" applyFont="1" applyFill="1" applyBorder="1" applyAlignment="1">
      <alignment vertical="center" wrapText="1"/>
      <protection/>
    </xf>
    <xf numFmtId="3" fontId="35" fillId="59" borderId="29" xfId="1507" applyNumberFormat="1" applyFont="1" applyFill="1" applyBorder="1" applyAlignment="1">
      <alignment vertical="center" wrapText="1"/>
      <protection/>
    </xf>
    <xf numFmtId="3" fontId="138" fillId="11" borderId="63" xfId="0" applyNumberFormat="1" applyFont="1" applyFill="1" applyBorder="1" applyAlignment="1">
      <alignment vertical="center" wrapText="1"/>
    </xf>
    <xf numFmtId="3" fontId="138" fillId="11" borderId="33" xfId="0" applyNumberFormat="1" applyFont="1" applyFill="1" applyBorder="1" applyAlignment="1">
      <alignment vertical="center" wrapText="1"/>
    </xf>
    <xf numFmtId="3" fontId="138" fillId="11" borderId="88" xfId="0" applyNumberFormat="1" applyFont="1" applyFill="1" applyBorder="1" applyAlignment="1">
      <alignment vertical="center" wrapText="1"/>
    </xf>
    <xf numFmtId="3" fontId="138" fillId="11" borderId="29" xfId="0" applyNumberFormat="1" applyFont="1" applyFill="1" applyBorder="1" applyAlignment="1">
      <alignment vertical="center" wrapText="1"/>
    </xf>
    <xf numFmtId="3" fontId="138" fillId="11" borderId="89" xfId="0" applyNumberFormat="1" applyFont="1" applyFill="1" applyBorder="1" applyAlignment="1">
      <alignment vertical="center" wrapText="1"/>
    </xf>
    <xf numFmtId="0" fontId="3" fillId="0" borderId="29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9" xfId="0" applyFont="1" applyBorder="1" applyAlignment="1">
      <alignment horizontal="left" vertical="center" wrapText="1"/>
    </xf>
    <xf numFmtId="0" fontId="5" fillId="59" borderId="29" xfId="0" applyFont="1" applyFill="1" applyBorder="1" applyAlignment="1">
      <alignment/>
    </xf>
    <xf numFmtId="3" fontId="5" fillId="59" borderId="29" xfId="0" applyNumberFormat="1" applyFont="1" applyFill="1" applyBorder="1" applyAlignment="1">
      <alignment/>
    </xf>
    <xf numFmtId="0" fontId="3" fillId="0" borderId="70" xfId="0" applyFont="1" applyBorder="1" applyAlignment="1">
      <alignment/>
    </xf>
    <xf numFmtId="3" fontId="4" fillId="59" borderId="63" xfId="0" applyNumberFormat="1" applyFont="1" applyFill="1" applyBorder="1" applyAlignment="1">
      <alignment/>
    </xf>
    <xf numFmtId="3" fontId="4" fillId="59" borderId="0" xfId="0" applyNumberFormat="1" applyFont="1" applyFill="1" applyAlignment="1">
      <alignment/>
    </xf>
    <xf numFmtId="3" fontId="143" fillId="59" borderId="0" xfId="0" applyNumberFormat="1" applyFont="1" applyFill="1" applyAlignment="1">
      <alignment/>
    </xf>
    <xf numFmtId="0" fontId="143" fillId="59" borderId="0" xfId="0" applyFont="1" applyFill="1" applyAlignment="1">
      <alignment/>
    </xf>
    <xf numFmtId="3" fontId="138" fillId="59" borderId="0" xfId="0" applyNumberFormat="1" applyFont="1" applyFill="1" applyAlignment="1">
      <alignment/>
    </xf>
    <xf numFmtId="0" fontId="138" fillId="59" borderId="0" xfId="0" applyFont="1" applyFill="1" applyAlignment="1">
      <alignment/>
    </xf>
    <xf numFmtId="1" fontId="3" fillId="0" borderId="0" xfId="1425" applyNumberFormat="1" applyFont="1" applyAlignment="1">
      <alignment vertical="center" wrapText="1"/>
      <protection/>
    </xf>
    <xf numFmtId="4" fontId="2" fillId="0" borderId="0" xfId="1425" applyNumberFormat="1" applyFont="1" applyAlignment="1">
      <alignment vertical="center" wrapText="1"/>
      <protection/>
    </xf>
    <xf numFmtId="1" fontId="140" fillId="59" borderId="0" xfId="0" applyNumberFormat="1" applyFont="1" applyFill="1" applyAlignment="1">
      <alignment/>
    </xf>
    <xf numFmtId="191" fontId="162" fillId="0" borderId="0" xfId="1425" applyNumberFormat="1" applyFont="1" applyAlignment="1">
      <alignment vertical="center" wrapText="1"/>
      <protection/>
    </xf>
    <xf numFmtId="1" fontId="5" fillId="59" borderId="0" xfId="0" applyNumberFormat="1" applyFont="1" applyFill="1" applyAlignment="1">
      <alignment/>
    </xf>
    <xf numFmtId="0" fontId="163" fillId="59" borderId="0" xfId="0" applyFont="1" applyFill="1" applyAlignment="1">
      <alignment/>
    </xf>
    <xf numFmtId="3" fontId="139" fillId="59" borderId="0" xfId="0" applyNumberFormat="1" applyFont="1" applyFill="1" applyAlignment="1">
      <alignment/>
    </xf>
    <xf numFmtId="0" fontId="2" fillId="17" borderId="63" xfId="855" applyFont="1" applyFill="1" applyBorder="1" applyAlignment="1" applyProtection="1">
      <alignment horizontal="center" vertical="center" wrapText="1"/>
      <protection/>
    </xf>
    <xf numFmtId="3" fontId="5" fillId="61" borderId="29" xfId="0" applyNumberFormat="1" applyFont="1" applyFill="1" applyBorder="1" applyAlignment="1">
      <alignment vertical="center" wrapText="1"/>
    </xf>
    <xf numFmtId="3" fontId="156" fillId="61" borderId="29" xfId="0" applyNumberFormat="1" applyFont="1" applyFill="1" applyBorder="1" applyAlignment="1">
      <alignment vertical="center" wrapText="1"/>
    </xf>
    <xf numFmtId="0" fontId="154" fillId="61" borderId="63" xfId="0" applyFont="1" applyFill="1" applyBorder="1" applyAlignment="1">
      <alignment horizontal="center" vertical="center" wrapText="1"/>
    </xf>
    <xf numFmtId="0" fontId="154" fillId="61" borderId="29" xfId="0" applyFont="1" applyFill="1" applyBorder="1" applyAlignment="1">
      <alignment horizontal="center" vertical="center" wrapText="1"/>
    </xf>
    <xf numFmtId="0" fontId="11" fillId="61" borderId="29" xfId="0" applyFont="1" applyFill="1" applyBorder="1" applyAlignment="1">
      <alignment vertical="center" wrapText="1"/>
    </xf>
    <xf numFmtId="2" fontId="11" fillId="0" borderId="0" xfId="0" applyNumberFormat="1" applyFont="1" applyAlignment="1">
      <alignment vertical="center" wrapText="1"/>
    </xf>
    <xf numFmtId="3" fontId="2" fillId="61" borderId="29" xfId="1425" applyNumberFormat="1" applyFont="1" applyFill="1" applyBorder="1" applyAlignment="1">
      <alignment vertical="center" wrapText="1"/>
      <protection/>
    </xf>
    <xf numFmtId="3" fontId="3" fillId="61" borderId="29" xfId="1425" applyNumberFormat="1" applyFont="1" applyFill="1" applyBorder="1" applyAlignment="1">
      <alignment vertical="center" wrapText="1"/>
      <protection/>
    </xf>
    <xf numFmtId="3" fontId="2" fillId="59" borderId="29" xfId="1425" applyNumberFormat="1" applyFont="1" applyFill="1" applyBorder="1" applyAlignment="1">
      <alignment vertical="center" wrapText="1"/>
      <protection/>
    </xf>
    <xf numFmtId="0" fontId="4" fillId="17" borderId="109" xfId="0" applyFont="1" applyFill="1" applyBorder="1" applyAlignment="1">
      <alignment horizontal="center" vertical="center" wrapText="1"/>
    </xf>
    <xf numFmtId="0" fontId="4" fillId="17" borderId="87" xfId="0" applyFont="1" applyFill="1" applyBorder="1" applyAlignment="1">
      <alignment horizontal="center" vertical="center" wrapText="1"/>
    </xf>
    <xf numFmtId="0" fontId="142" fillId="17" borderId="29" xfId="0" applyFont="1" applyFill="1" applyBorder="1" applyAlignment="1">
      <alignment horizontal="center" vertical="top" wrapText="1"/>
    </xf>
    <xf numFmtId="0" fontId="142" fillId="17" borderId="110" xfId="0" applyFont="1" applyFill="1" applyBorder="1" applyAlignment="1">
      <alignment horizontal="center" vertical="top" wrapText="1"/>
    </xf>
    <xf numFmtId="3" fontId="35" fillId="0" borderId="93" xfId="0" applyNumberFormat="1" applyFont="1" applyBorder="1" applyAlignment="1">
      <alignment horizontal="center" vertical="center" wrapText="1"/>
    </xf>
    <xf numFmtId="3" fontId="35" fillId="0" borderId="87" xfId="0" applyNumberFormat="1" applyFont="1" applyBorder="1" applyAlignment="1">
      <alignment horizontal="center" vertical="center" wrapText="1"/>
    </xf>
    <xf numFmtId="3" fontId="35" fillId="0" borderId="111" xfId="0" applyNumberFormat="1" applyFont="1" applyBorder="1" applyAlignment="1">
      <alignment horizontal="center" vertical="center" wrapText="1"/>
    </xf>
    <xf numFmtId="0" fontId="4" fillId="17" borderId="112" xfId="0" applyFont="1" applyFill="1" applyBorder="1" applyAlignment="1">
      <alignment horizontal="center" vertical="center" wrapText="1"/>
    </xf>
    <xf numFmtId="0" fontId="4" fillId="17" borderId="113" xfId="0" applyFont="1" applyFill="1" applyBorder="1" applyAlignment="1">
      <alignment horizontal="center" vertical="center" wrapText="1"/>
    </xf>
    <xf numFmtId="3" fontId="142" fillId="17" borderId="89" xfId="0" applyNumberFormat="1" applyFont="1" applyFill="1" applyBorder="1" applyAlignment="1">
      <alignment horizontal="center" vertical="top" wrapText="1"/>
    </xf>
    <xf numFmtId="3" fontId="142" fillId="17" borderId="114" xfId="0" applyNumberFormat="1" applyFont="1" applyFill="1" applyBorder="1" applyAlignment="1">
      <alignment horizontal="center" vertical="top" wrapText="1"/>
    </xf>
    <xf numFmtId="0" fontId="142" fillId="59" borderId="0" xfId="0" applyFont="1" applyFill="1" applyAlignment="1">
      <alignment horizontal="right"/>
    </xf>
    <xf numFmtId="0" fontId="139" fillId="0" borderId="0" xfId="0" applyFont="1" applyAlignment="1">
      <alignment horizontal="center" vertical="center" wrapText="1"/>
    </xf>
    <xf numFmtId="0" fontId="4" fillId="17" borderId="115" xfId="0" applyFont="1" applyFill="1" applyBorder="1" applyAlignment="1">
      <alignment horizontal="center" vertical="center" wrapText="1"/>
    </xf>
    <xf numFmtId="0" fontId="4" fillId="17" borderId="83" xfId="0" applyFont="1" applyFill="1" applyBorder="1" applyAlignment="1">
      <alignment horizontal="center" vertical="center" wrapText="1"/>
    </xf>
    <xf numFmtId="0" fontId="4" fillId="17" borderId="82" xfId="0" applyFont="1" applyFill="1" applyBorder="1" applyAlignment="1">
      <alignment horizontal="center" vertical="center" wrapText="1"/>
    </xf>
    <xf numFmtId="0" fontId="4" fillId="17" borderId="116" xfId="0" applyFont="1" applyFill="1" applyBorder="1" applyAlignment="1">
      <alignment horizontal="center" vertical="center" wrapText="1"/>
    </xf>
    <xf numFmtId="0" fontId="4" fillId="17" borderId="75" xfId="0" applyFont="1" applyFill="1" applyBorder="1" applyAlignment="1">
      <alignment horizontal="center" vertical="center" wrapText="1"/>
    </xf>
    <xf numFmtId="0" fontId="4" fillId="17" borderId="108" xfId="0" applyFont="1" applyFill="1" applyBorder="1" applyAlignment="1">
      <alignment horizontal="center" vertical="center" wrapText="1"/>
    </xf>
    <xf numFmtId="0" fontId="35" fillId="0" borderId="117" xfId="0" applyFont="1" applyBorder="1" applyAlignment="1">
      <alignment horizontal="center" vertical="center" wrapText="1"/>
    </xf>
    <xf numFmtId="0" fontId="35" fillId="0" borderId="118" xfId="0" applyFont="1" applyBorder="1" applyAlignment="1">
      <alignment horizontal="center" vertical="center" wrapText="1"/>
    </xf>
    <xf numFmtId="0" fontId="35" fillId="0" borderId="119" xfId="0" applyFont="1" applyBorder="1" applyAlignment="1">
      <alignment horizontal="center" vertical="center" wrapText="1"/>
    </xf>
    <xf numFmtId="0" fontId="4" fillId="0" borderId="120" xfId="0" applyFont="1" applyBorder="1" applyAlignment="1">
      <alignment horizontal="center"/>
    </xf>
    <xf numFmtId="0" fontId="140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42" fillId="17" borderId="113" xfId="0" applyFont="1" applyFill="1" applyBorder="1" applyAlignment="1">
      <alignment horizontal="center" vertical="center" wrapText="1"/>
    </xf>
    <xf numFmtId="0" fontId="142" fillId="17" borderId="121" xfId="0" applyFont="1" applyFill="1" applyBorder="1" applyAlignment="1">
      <alignment horizontal="center" vertical="center" wrapText="1"/>
    </xf>
    <xf numFmtId="0" fontId="142" fillId="17" borderId="64" xfId="0" applyFont="1" applyFill="1" applyBorder="1" applyAlignment="1">
      <alignment horizontal="center" vertical="top" wrapText="1"/>
    </xf>
    <xf numFmtId="0" fontId="142" fillId="17" borderId="108" xfId="0" applyFont="1" applyFill="1" applyBorder="1" applyAlignment="1">
      <alignment horizontal="center" vertical="top" wrapText="1"/>
    </xf>
    <xf numFmtId="0" fontId="2" fillId="17" borderId="29" xfId="1425" applyFont="1" applyFill="1" applyBorder="1" applyAlignment="1">
      <alignment horizontal="center" vertical="center" wrapText="1"/>
      <protection/>
    </xf>
    <xf numFmtId="0" fontId="2" fillId="17" borderId="64" xfId="1425" applyFont="1" applyFill="1" applyBorder="1" applyAlignment="1">
      <alignment horizontal="center" vertical="center" wrapText="1"/>
      <protection/>
    </xf>
    <xf numFmtId="0" fontId="2" fillId="17" borderId="63" xfId="142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39" fillId="0" borderId="0" xfId="1425" applyFont="1" applyAlignment="1">
      <alignment horizontal="center" vertical="center" wrapText="1"/>
      <protection/>
    </xf>
    <xf numFmtId="0" fontId="2" fillId="17" borderId="75" xfId="1425" applyFont="1" applyFill="1" applyBorder="1" applyAlignment="1">
      <alignment horizontal="center" vertical="center" wrapText="1"/>
      <protection/>
    </xf>
    <xf numFmtId="0" fontId="3" fillId="17" borderId="64" xfId="1425" applyFont="1" applyFill="1" applyBorder="1" applyAlignment="1">
      <alignment horizontal="center" vertical="center" wrapText="1"/>
      <protection/>
    </xf>
    <xf numFmtId="0" fontId="3" fillId="17" borderId="75" xfId="1425" applyFont="1" applyFill="1" applyBorder="1" applyAlignment="1">
      <alignment horizontal="center" vertical="center" wrapText="1"/>
      <protection/>
    </xf>
    <xf numFmtId="0" fontId="3" fillId="17" borderId="63" xfId="1425" applyFont="1" applyFill="1" applyBorder="1" applyAlignment="1">
      <alignment horizontal="center" vertical="center" wrapText="1"/>
      <protection/>
    </xf>
    <xf numFmtId="0" fontId="142" fillId="57" borderId="122" xfId="0" applyFont="1" applyFill="1" applyBorder="1" applyAlignment="1">
      <alignment horizontal="center" vertical="center" wrapText="1"/>
    </xf>
    <xf numFmtId="0" fontId="142" fillId="57" borderId="123" xfId="0" applyFont="1" applyFill="1" applyBorder="1" applyAlignment="1">
      <alignment horizontal="center" vertical="center" wrapText="1"/>
    </xf>
    <xf numFmtId="0" fontId="139" fillId="0" borderId="0" xfId="0" applyFont="1" applyAlignment="1">
      <alignment horizontal="center"/>
    </xf>
    <xf numFmtId="0" fontId="140" fillId="57" borderId="115" xfId="0" applyFont="1" applyFill="1" applyBorder="1" applyAlignment="1">
      <alignment horizontal="center" vertical="center" wrapText="1"/>
    </xf>
    <xf numFmtId="0" fontId="140" fillId="57" borderId="82" xfId="0" applyFont="1" applyFill="1" applyBorder="1" applyAlignment="1">
      <alignment horizontal="center" vertical="center" wrapText="1"/>
    </xf>
    <xf numFmtId="0" fontId="147" fillId="57" borderId="116" xfId="0" applyFont="1" applyFill="1" applyBorder="1" applyAlignment="1">
      <alignment horizontal="center" vertical="center" wrapText="1"/>
    </xf>
    <xf numFmtId="0" fontId="147" fillId="57" borderId="108" xfId="0" applyFont="1" applyFill="1" applyBorder="1" applyAlignment="1">
      <alignment horizontal="center" vertical="center" wrapText="1"/>
    </xf>
    <xf numFmtId="0" fontId="147" fillId="57" borderId="102" xfId="0" applyFont="1" applyFill="1" applyBorder="1" applyAlignment="1">
      <alignment horizontal="center" vertical="center" wrapText="1"/>
    </xf>
    <xf numFmtId="0" fontId="147" fillId="57" borderId="118" xfId="0" applyFont="1" applyFill="1" applyBorder="1" applyAlignment="1">
      <alignment horizontal="center" vertical="center" wrapText="1"/>
    </xf>
    <xf numFmtId="0" fontId="147" fillId="57" borderId="119" xfId="0" applyFont="1" applyFill="1" applyBorder="1" applyAlignment="1">
      <alignment horizontal="center" vertical="center" wrapText="1"/>
    </xf>
    <xf numFmtId="0" fontId="15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17" borderId="124" xfId="0" applyFont="1" applyFill="1" applyBorder="1" applyAlignment="1">
      <alignment horizontal="center" vertical="center" wrapText="1"/>
    </xf>
    <xf numFmtId="0" fontId="3" fillId="17" borderId="58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1" fontId="136" fillId="11" borderId="37" xfId="0" applyNumberFormat="1" applyFont="1" applyFill="1" applyBorder="1" applyAlignment="1">
      <alignment horizontal="center" vertical="center" wrapText="1"/>
    </xf>
    <xf numFmtId="1" fontId="136" fillId="11" borderId="68" xfId="0" applyNumberFormat="1" applyFont="1" applyFill="1" applyBorder="1" applyAlignment="1">
      <alignment horizontal="center" vertical="center" wrapText="1"/>
    </xf>
    <xf numFmtId="1" fontId="136" fillId="11" borderId="32" xfId="0" applyNumberFormat="1" applyFont="1" applyFill="1" applyBorder="1" applyAlignment="1">
      <alignment horizontal="center" vertical="center" wrapText="1"/>
    </xf>
    <xf numFmtId="0" fontId="152" fillId="59" borderId="0" xfId="0" applyFont="1" applyFill="1" applyAlignment="1">
      <alignment horizontal="center" vertical="center" wrapText="1"/>
    </xf>
    <xf numFmtId="0" fontId="3" fillId="59" borderId="0" xfId="0" applyFont="1" applyFill="1" applyAlignment="1">
      <alignment horizontal="center" vertical="center" wrapText="1"/>
    </xf>
    <xf numFmtId="0" fontId="152" fillId="11" borderId="0" xfId="0" applyFont="1" applyFill="1" applyAlignment="1">
      <alignment horizontal="center" vertical="center" wrapText="1"/>
    </xf>
    <xf numFmtId="0" fontId="3" fillId="17" borderId="67" xfId="0" applyFont="1" applyFill="1" applyBorder="1" applyAlignment="1">
      <alignment horizontal="center" vertical="top" wrapText="1"/>
    </xf>
    <xf numFmtId="0" fontId="3" fillId="17" borderId="125" xfId="0" applyFont="1" applyFill="1" applyBorder="1" applyAlignment="1">
      <alignment horizontal="center" vertical="top" wrapText="1"/>
    </xf>
    <xf numFmtId="0" fontId="3" fillId="17" borderId="28" xfId="0" applyFont="1" applyFill="1" applyBorder="1" applyAlignment="1">
      <alignment horizontal="center" vertical="top" wrapText="1"/>
    </xf>
    <xf numFmtId="0" fontId="3" fillId="17" borderId="39" xfId="0" applyFont="1" applyFill="1" applyBorder="1" applyAlignment="1">
      <alignment horizontal="center" vertical="top" wrapText="1"/>
    </xf>
    <xf numFmtId="0" fontId="4" fillId="17" borderId="126" xfId="0" applyFont="1" applyFill="1" applyBorder="1" applyAlignment="1">
      <alignment horizontal="center" vertical="top" wrapText="1"/>
    </xf>
    <xf numFmtId="0" fontId="4" fillId="17" borderId="127" xfId="0" applyFont="1" applyFill="1" applyBorder="1" applyAlignment="1">
      <alignment horizontal="center" vertical="top" wrapText="1"/>
    </xf>
    <xf numFmtId="0" fontId="3" fillId="17" borderId="65" xfId="0" applyFont="1" applyFill="1" applyBorder="1" applyAlignment="1">
      <alignment horizontal="center" vertical="top" wrapText="1"/>
    </xf>
    <xf numFmtId="0" fontId="3" fillId="17" borderId="99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64" fillId="0" borderId="0" xfId="0" applyFont="1" applyBorder="1" applyAlignment="1">
      <alignment horizontal="center"/>
    </xf>
    <xf numFmtId="0" fontId="3" fillId="17" borderId="64" xfId="0" applyFont="1" applyFill="1" applyBorder="1" applyAlignment="1">
      <alignment horizontal="center" vertical="center" wrapText="1"/>
    </xf>
    <xf numFmtId="0" fontId="3" fillId="17" borderId="75" xfId="0" applyFont="1" applyFill="1" applyBorder="1" applyAlignment="1">
      <alignment horizontal="center" vertical="center" wrapText="1"/>
    </xf>
    <xf numFmtId="0" fontId="3" fillId="17" borderId="63" xfId="0" applyFont="1" applyFill="1" applyBorder="1" applyAlignment="1">
      <alignment horizontal="center" vertical="center" wrapText="1"/>
    </xf>
    <xf numFmtId="0" fontId="3" fillId="17" borderId="29" xfId="855" applyFont="1" applyFill="1" applyBorder="1" applyAlignment="1" applyProtection="1">
      <alignment horizontal="center" vertical="center" wrapText="1"/>
      <protection/>
    </xf>
    <xf numFmtId="0" fontId="2" fillId="17" borderId="64" xfId="855" applyFont="1" applyFill="1" applyBorder="1" applyAlignment="1" applyProtection="1">
      <alignment horizontal="center" vertical="center" wrapText="1"/>
      <protection/>
    </xf>
    <xf numFmtId="0" fontId="2" fillId="17" borderId="63" xfId="855" applyFont="1" applyFill="1" applyBorder="1" applyAlignment="1" applyProtection="1">
      <alignment horizontal="center" vertical="center" wrapText="1"/>
      <protection/>
    </xf>
    <xf numFmtId="0" fontId="2" fillId="17" borderId="31" xfId="855" applyFont="1" applyFill="1" applyBorder="1" applyAlignment="1" applyProtection="1">
      <alignment horizontal="center" vertical="center" wrapText="1"/>
      <protection/>
    </xf>
    <xf numFmtId="0" fontId="2" fillId="17" borderId="97" xfId="855" applyFont="1" applyFill="1" applyBorder="1" applyAlignment="1" applyProtection="1">
      <alignment horizontal="center" vertical="center" wrapText="1"/>
      <protection/>
    </xf>
    <xf numFmtId="0" fontId="2" fillId="17" borderId="66" xfId="855" applyFont="1" applyFill="1" applyBorder="1" applyAlignment="1" applyProtection="1">
      <alignment horizontal="center" vertical="center" wrapText="1"/>
      <protection/>
    </xf>
    <xf numFmtId="0" fontId="2" fillId="17" borderId="64" xfId="0" applyFont="1" applyFill="1" applyBorder="1" applyAlignment="1">
      <alignment horizontal="center" vertical="center" wrapText="1"/>
    </xf>
    <xf numFmtId="0" fontId="2" fillId="17" borderId="75" xfId="0" applyFont="1" applyFill="1" applyBorder="1" applyAlignment="1">
      <alignment horizontal="center" vertical="center" wrapText="1"/>
    </xf>
    <xf numFmtId="0" fontId="2" fillId="17" borderId="63" xfId="0" applyFont="1" applyFill="1" applyBorder="1" applyAlignment="1">
      <alignment horizontal="center" vertical="center" wrapText="1"/>
    </xf>
    <xf numFmtId="0" fontId="10" fillId="0" borderId="64" xfId="2078" applyFont="1" applyBorder="1" applyAlignment="1">
      <alignment horizontal="center" vertical="center" wrapText="1"/>
      <protection/>
    </xf>
    <xf numFmtId="0" fontId="10" fillId="0" borderId="75" xfId="2078" applyFont="1" applyBorder="1" applyAlignment="1">
      <alignment horizontal="center" vertical="center" wrapText="1"/>
      <protection/>
    </xf>
    <xf numFmtId="0" fontId="165" fillId="0" borderId="0" xfId="0" applyFont="1" applyAlignment="1">
      <alignment horizontal="center" vertical="center" wrapText="1"/>
    </xf>
    <xf numFmtId="0" fontId="145" fillId="0" borderId="64" xfId="2078" applyFont="1" applyBorder="1" applyAlignment="1">
      <alignment horizontal="center" vertical="center" wrapText="1"/>
      <protection/>
    </xf>
    <xf numFmtId="0" fontId="145" fillId="0" borderId="63" xfId="2078" applyFont="1" applyBorder="1" applyAlignment="1">
      <alignment horizontal="center" vertical="center" wrapText="1"/>
      <protection/>
    </xf>
    <xf numFmtId="0" fontId="145" fillId="60" borderId="64" xfId="2078" applyFont="1" applyFill="1" applyBorder="1" applyAlignment="1">
      <alignment horizontal="center" vertical="center" wrapText="1"/>
      <protection/>
    </xf>
    <xf numFmtId="0" fontId="145" fillId="60" borderId="63" xfId="2078" applyFont="1" applyFill="1" applyBorder="1" applyAlignment="1">
      <alignment horizontal="center" vertical="center" wrapText="1"/>
      <protection/>
    </xf>
    <xf numFmtId="0" fontId="148" fillId="0" borderId="64" xfId="2078" applyFont="1" applyBorder="1" applyAlignment="1">
      <alignment horizontal="center" vertical="center" wrapText="1"/>
      <protection/>
    </xf>
    <xf numFmtId="0" fontId="148" fillId="0" borderId="75" xfId="2078" applyFont="1" applyBorder="1" applyAlignment="1">
      <alignment horizontal="center" vertical="center" wrapText="1"/>
      <protection/>
    </xf>
    <xf numFmtId="0" fontId="164" fillId="15" borderId="64" xfId="2078" applyFont="1" applyFill="1" applyBorder="1" applyAlignment="1">
      <alignment horizontal="center" vertical="center" wrapText="1"/>
      <protection/>
    </xf>
    <xf numFmtId="0" fontId="164" fillId="15" borderId="75" xfId="2078" applyFont="1" applyFill="1" applyBorder="1" applyAlignment="1">
      <alignment horizontal="center" vertical="center" wrapText="1"/>
      <protection/>
    </xf>
    <xf numFmtId="2" fontId="147" fillId="59" borderId="29" xfId="1507" applyNumberFormat="1" applyFont="1" applyFill="1" applyBorder="1" applyAlignment="1">
      <alignment horizontal="center" vertical="center" wrapText="1"/>
      <protection/>
    </xf>
    <xf numFmtId="0" fontId="68" fillId="0" borderId="0" xfId="919" applyFont="1" applyAlignment="1">
      <alignment horizontal="center" vertical="center" wrapText="1"/>
      <protection/>
    </xf>
    <xf numFmtId="0" fontId="140" fillId="0" borderId="0" xfId="919" applyFont="1" applyAlignment="1">
      <alignment horizontal="center" vertical="center" wrapText="1"/>
      <protection/>
    </xf>
    <xf numFmtId="2" fontId="149" fillId="59" borderId="31" xfId="1507" applyNumberFormat="1" applyFont="1" applyFill="1" applyBorder="1" applyAlignment="1">
      <alignment horizontal="center" vertical="center" wrapText="1"/>
      <protection/>
    </xf>
    <xf numFmtId="2" fontId="149" fillId="59" borderId="97" xfId="1507" applyNumberFormat="1" applyFont="1" applyFill="1" applyBorder="1" applyAlignment="1">
      <alignment horizontal="center" vertical="center" wrapText="1"/>
      <protection/>
    </xf>
    <xf numFmtId="2" fontId="149" fillId="59" borderId="66" xfId="1507" applyNumberFormat="1" applyFont="1" applyFill="1" applyBorder="1" applyAlignment="1">
      <alignment horizontal="center" vertical="center" wrapText="1"/>
      <protection/>
    </xf>
    <xf numFmtId="2" fontId="166" fillId="59" borderId="64" xfId="1507" applyNumberFormat="1" applyFont="1" applyFill="1" applyBorder="1" applyAlignment="1">
      <alignment horizontal="center" vertical="center" wrapText="1"/>
      <protection/>
    </xf>
    <xf numFmtId="2" fontId="166" fillId="59" borderId="63" xfId="1507" applyNumberFormat="1" applyFont="1" applyFill="1" applyBorder="1" applyAlignment="1">
      <alignment horizontal="center" vertical="center" wrapText="1"/>
      <protection/>
    </xf>
  </cellXfs>
  <cellStyles count="304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20% — акцент1" xfId="25"/>
    <cellStyle name="20% - Акцент1 10" xfId="26"/>
    <cellStyle name="20% - Акцент1 11" xfId="27"/>
    <cellStyle name="20% - Акцент1 12" xfId="28"/>
    <cellStyle name="20% - Акцент1 13" xfId="29"/>
    <cellStyle name="20% - Акцент1 14" xfId="30"/>
    <cellStyle name="20% - Акцент1 15" xfId="31"/>
    <cellStyle name="20% - Акцент1 16" xfId="32"/>
    <cellStyle name="20% - Акцент1 17" xfId="33"/>
    <cellStyle name="20% - Акцент1 18" xfId="34"/>
    <cellStyle name="20% - Акцент1 19" xfId="35"/>
    <cellStyle name="20% - Акцент1 2" xfId="36"/>
    <cellStyle name="20% - Акцент1 2 2" xfId="37"/>
    <cellStyle name="20% - Акцент1 2 2 2" xfId="38"/>
    <cellStyle name="20% - Акцент1 2 2 2 2" xfId="39"/>
    <cellStyle name="20% - Акцент1 2 2 3" xfId="40"/>
    <cellStyle name="20% - Акцент1 2 2 4" xfId="41"/>
    <cellStyle name="20% - Акцент1 2 3" xfId="42"/>
    <cellStyle name="20% - Акцент1 2 3 2" xfId="43"/>
    <cellStyle name="20% - Акцент1 2 3 3" xfId="44"/>
    <cellStyle name="20% - Акцент1 2 3 4" xfId="45"/>
    <cellStyle name="20% - Акцент1 2 4" xfId="46"/>
    <cellStyle name="20% - Акцент1 2 4 2" xfId="47"/>
    <cellStyle name="20% - Акцент1 2 4 3" xfId="48"/>
    <cellStyle name="20% - Акцент1 2 5" xfId="49"/>
    <cellStyle name="20% - Акцент1 20" xfId="50"/>
    <cellStyle name="20% - Акцент1 21" xfId="51"/>
    <cellStyle name="20% - Акцент1 22" xfId="52"/>
    <cellStyle name="20% - Акцент1 3" xfId="53"/>
    <cellStyle name="20% - Акцент1 3 2" xfId="54"/>
    <cellStyle name="20% - Акцент1 3 3" xfId="55"/>
    <cellStyle name="20% - Акцент1 3 4" xfId="56"/>
    <cellStyle name="20% - Акцент1 3 5" xfId="57"/>
    <cellStyle name="20% - Акцент1 4" xfId="58"/>
    <cellStyle name="20% - Акцент1 4 2" xfId="59"/>
    <cellStyle name="20% - Акцент1 4 3" xfId="60"/>
    <cellStyle name="20% - Акцент1 5" xfId="61"/>
    <cellStyle name="20% - Акцент1 5 2" xfId="62"/>
    <cellStyle name="20% - Акцент1 5 3" xfId="63"/>
    <cellStyle name="20% - Акцент1 6" xfId="64"/>
    <cellStyle name="20% - Акцент1 6 2" xfId="65"/>
    <cellStyle name="20% - Акцент1 6 3" xfId="66"/>
    <cellStyle name="20% - Акцент1 7" xfId="67"/>
    <cellStyle name="20% - Акцент1 7 2" xfId="68"/>
    <cellStyle name="20% - Акцент1 7 3" xfId="69"/>
    <cellStyle name="20% - Акцент1 8" xfId="70"/>
    <cellStyle name="20% - Акцент1 8 2" xfId="71"/>
    <cellStyle name="20% - Акцент1 9" xfId="72"/>
    <cellStyle name="20% - Акцент1 9 2" xfId="73"/>
    <cellStyle name="20% — акцент2" xfId="74"/>
    <cellStyle name="20% - Акцент2 10" xfId="75"/>
    <cellStyle name="20% - Акцент2 11" xfId="76"/>
    <cellStyle name="20% - Акцент2 12" xfId="77"/>
    <cellStyle name="20% - Акцент2 13" xfId="78"/>
    <cellStyle name="20% - Акцент2 14" xfId="79"/>
    <cellStyle name="20% - Акцент2 15" xfId="80"/>
    <cellStyle name="20% - Акцент2 16" xfId="81"/>
    <cellStyle name="20% - Акцент2 17" xfId="82"/>
    <cellStyle name="20% - Акцент2 18" xfId="83"/>
    <cellStyle name="20% - Акцент2 19" xfId="84"/>
    <cellStyle name="20% - Акцент2 2" xfId="85"/>
    <cellStyle name="20% - Акцент2 2 2" xfId="86"/>
    <cellStyle name="20% - Акцент2 2 2 2" xfId="87"/>
    <cellStyle name="20% - Акцент2 2 2 2 2" xfId="88"/>
    <cellStyle name="20% - Акцент2 2 2 3" xfId="89"/>
    <cellStyle name="20% - Акцент2 2 2 4" xfId="90"/>
    <cellStyle name="20% - Акцент2 2 3" xfId="91"/>
    <cellStyle name="20% - Акцент2 2 3 2" xfId="92"/>
    <cellStyle name="20% - Акцент2 2 3 3" xfId="93"/>
    <cellStyle name="20% - Акцент2 2 3 4" xfId="94"/>
    <cellStyle name="20% - Акцент2 2 4" xfId="95"/>
    <cellStyle name="20% - Акцент2 2 4 2" xfId="96"/>
    <cellStyle name="20% - Акцент2 2 4 3" xfId="97"/>
    <cellStyle name="20% - Акцент2 2 5" xfId="98"/>
    <cellStyle name="20% - Акцент2 20" xfId="99"/>
    <cellStyle name="20% - Акцент2 21" xfId="100"/>
    <cellStyle name="20% - Акцент2 22" xfId="101"/>
    <cellStyle name="20% - Акцент2 3" xfId="102"/>
    <cellStyle name="20% - Акцент2 3 2" xfId="103"/>
    <cellStyle name="20% - Акцент2 3 3" xfId="104"/>
    <cellStyle name="20% - Акцент2 3 4" xfId="105"/>
    <cellStyle name="20% - Акцент2 3 5" xfId="106"/>
    <cellStyle name="20% - Акцент2 4" xfId="107"/>
    <cellStyle name="20% - Акцент2 4 2" xfId="108"/>
    <cellStyle name="20% - Акцент2 4 3" xfId="109"/>
    <cellStyle name="20% - Акцент2 5" xfId="110"/>
    <cellStyle name="20% - Акцент2 5 2" xfId="111"/>
    <cellStyle name="20% - Акцент2 5 3" xfId="112"/>
    <cellStyle name="20% - Акцент2 6" xfId="113"/>
    <cellStyle name="20% - Акцент2 6 2" xfId="114"/>
    <cellStyle name="20% - Акцент2 6 3" xfId="115"/>
    <cellStyle name="20% - Акцент2 7" xfId="116"/>
    <cellStyle name="20% - Акцент2 7 2" xfId="117"/>
    <cellStyle name="20% - Акцент2 7 3" xfId="118"/>
    <cellStyle name="20% - Акцент2 8" xfId="119"/>
    <cellStyle name="20% - Акцент2 8 2" xfId="120"/>
    <cellStyle name="20% - Акцент2 9" xfId="121"/>
    <cellStyle name="20% - Акцент2 9 2" xfId="122"/>
    <cellStyle name="20% — акцент3" xfId="123"/>
    <cellStyle name="20% - Акцент3 10" xfId="124"/>
    <cellStyle name="20% - Акцент3 11" xfId="125"/>
    <cellStyle name="20% - Акцент3 12" xfId="126"/>
    <cellStyle name="20% - Акцент3 13" xfId="127"/>
    <cellStyle name="20% - Акцент3 14" xfId="128"/>
    <cellStyle name="20% - Акцент3 15" xfId="129"/>
    <cellStyle name="20% - Акцент3 16" xfId="130"/>
    <cellStyle name="20% - Акцент3 17" xfId="131"/>
    <cellStyle name="20% - Акцент3 18" xfId="132"/>
    <cellStyle name="20% - Акцент3 19" xfId="133"/>
    <cellStyle name="20% - Акцент3 2" xfId="134"/>
    <cellStyle name="20% - Акцент3 2 2" xfId="135"/>
    <cellStyle name="20% - Акцент3 2 2 2" xfId="136"/>
    <cellStyle name="20% - Акцент3 2 2 2 2" xfId="137"/>
    <cellStyle name="20% - Акцент3 2 2 3" xfId="138"/>
    <cellStyle name="20% - Акцент3 2 2 4" xfId="139"/>
    <cellStyle name="20% - Акцент3 2 3" xfId="140"/>
    <cellStyle name="20% - Акцент3 2 3 2" xfId="141"/>
    <cellStyle name="20% - Акцент3 2 3 3" xfId="142"/>
    <cellStyle name="20% - Акцент3 2 3 4" xfId="143"/>
    <cellStyle name="20% - Акцент3 2 4" xfId="144"/>
    <cellStyle name="20% - Акцент3 2 4 2" xfId="145"/>
    <cellStyle name="20% - Акцент3 2 4 3" xfId="146"/>
    <cellStyle name="20% - Акцент3 2 5" xfId="147"/>
    <cellStyle name="20% - Акцент3 20" xfId="148"/>
    <cellStyle name="20% - Акцент3 21" xfId="149"/>
    <cellStyle name="20% - Акцент3 22" xfId="150"/>
    <cellStyle name="20% - Акцент3 3" xfId="151"/>
    <cellStyle name="20% - Акцент3 3 2" xfId="152"/>
    <cellStyle name="20% - Акцент3 3 3" xfId="153"/>
    <cellStyle name="20% - Акцент3 3 4" xfId="154"/>
    <cellStyle name="20% - Акцент3 3 5" xfId="155"/>
    <cellStyle name="20% - Акцент3 4" xfId="156"/>
    <cellStyle name="20% - Акцент3 4 2" xfId="157"/>
    <cellStyle name="20% - Акцент3 4 3" xfId="158"/>
    <cellStyle name="20% - Акцент3 5" xfId="159"/>
    <cellStyle name="20% - Акцент3 5 2" xfId="160"/>
    <cellStyle name="20% - Акцент3 5 3" xfId="161"/>
    <cellStyle name="20% - Акцент3 6" xfId="162"/>
    <cellStyle name="20% - Акцент3 6 2" xfId="163"/>
    <cellStyle name="20% - Акцент3 6 3" xfId="164"/>
    <cellStyle name="20% - Акцент3 7" xfId="165"/>
    <cellStyle name="20% - Акцент3 7 2" xfId="166"/>
    <cellStyle name="20% - Акцент3 7 3" xfId="167"/>
    <cellStyle name="20% - Акцент3 8" xfId="168"/>
    <cellStyle name="20% - Акцент3 8 2" xfId="169"/>
    <cellStyle name="20% - Акцент3 9" xfId="170"/>
    <cellStyle name="20% - Акцент3 9 2" xfId="171"/>
    <cellStyle name="20% — акцент4" xfId="172"/>
    <cellStyle name="20% - Акцент4 10" xfId="173"/>
    <cellStyle name="20% - Акцент4 11" xfId="174"/>
    <cellStyle name="20% - Акцент4 12" xfId="175"/>
    <cellStyle name="20% - Акцент4 13" xfId="176"/>
    <cellStyle name="20% - Акцент4 14" xfId="177"/>
    <cellStyle name="20% - Акцент4 15" xfId="178"/>
    <cellStyle name="20% - Акцент4 16" xfId="179"/>
    <cellStyle name="20% - Акцент4 17" xfId="180"/>
    <cellStyle name="20% - Акцент4 18" xfId="181"/>
    <cellStyle name="20% - Акцент4 19" xfId="182"/>
    <cellStyle name="20% - Акцент4 2" xfId="183"/>
    <cellStyle name="20% - Акцент4 2 2" xfId="184"/>
    <cellStyle name="20% - Акцент4 2 2 2" xfId="185"/>
    <cellStyle name="20% - Акцент4 2 2 2 2" xfId="186"/>
    <cellStyle name="20% - Акцент4 2 2 3" xfId="187"/>
    <cellStyle name="20% - Акцент4 2 2 4" xfId="188"/>
    <cellStyle name="20% - Акцент4 2 3" xfId="189"/>
    <cellStyle name="20% - Акцент4 2 3 2" xfId="190"/>
    <cellStyle name="20% - Акцент4 2 3 3" xfId="191"/>
    <cellStyle name="20% - Акцент4 2 3 4" xfId="192"/>
    <cellStyle name="20% - Акцент4 2 4" xfId="193"/>
    <cellStyle name="20% - Акцент4 2 4 2" xfId="194"/>
    <cellStyle name="20% - Акцент4 2 4 3" xfId="195"/>
    <cellStyle name="20% - Акцент4 2 5" xfId="196"/>
    <cellStyle name="20% - Акцент4 20" xfId="197"/>
    <cellStyle name="20% - Акцент4 21" xfId="198"/>
    <cellStyle name="20% - Акцент4 22" xfId="199"/>
    <cellStyle name="20% - Акцент4 3" xfId="200"/>
    <cellStyle name="20% - Акцент4 3 2" xfId="201"/>
    <cellStyle name="20% - Акцент4 3 3" xfId="202"/>
    <cellStyle name="20% - Акцент4 3 4" xfId="203"/>
    <cellStyle name="20% - Акцент4 3 5" xfId="204"/>
    <cellStyle name="20% - Акцент4 4" xfId="205"/>
    <cellStyle name="20% - Акцент4 4 2" xfId="206"/>
    <cellStyle name="20% - Акцент4 4 3" xfId="207"/>
    <cellStyle name="20% - Акцент4 5" xfId="208"/>
    <cellStyle name="20% - Акцент4 5 2" xfId="209"/>
    <cellStyle name="20% - Акцент4 5 3" xfId="210"/>
    <cellStyle name="20% - Акцент4 6" xfId="211"/>
    <cellStyle name="20% - Акцент4 6 2" xfId="212"/>
    <cellStyle name="20% - Акцент4 6 3" xfId="213"/>
    <cellStyle name="20% - Акцент4 7" xfId="214"/>
    <cellStyle name="20% - Акцент4 7 2" xfId="215"/>
    <cellStyle name="20% - Акцент4 7 3" xfId="216"/>
    <cellStyle name="20% - Акцент4 8" xfId="217"/>
    <cellStyle name="20% - Акцент4 8 2" xfId="218"/>
    <cellStyle name="20% - Акцент4 9" xfId="219"/>
    <cellStyle name="20% - Акцент4 9 2" xfId="220"/>
    <cellStyle name="20% — акцент5" xfId="221"/>
    <cellStyle name="20% - Акцент5 10" xfId="222"/>
    <cellStyle name="20% - Акцент5 11" xfId="223"/>
    <cellStyle name="20% - Акцент5 12" xfId="224"/>
    <cellStyle name="20% - Акцент5 13" xfId="225"/>
    <cellStyle name="20% - Акцент5 14" xfId="226"/>
    <cellStyle name="20% - Акцент5 15" xfId="227"/>
    <cellStyle name="20% - Акцент5 16" xfId="228"/>
    <cellStyle name="20% - Акцент5 17" xfId="229"/>
    <cellStyle name="20% - Акцент5 18" xfId="230"/>
    <cellStyle name="20% - Акцент5 19" xfId="231"/>
    <cellStyle name="20% - Акцент5 2" xfId="232"/>
    <cellStyle name="20% - Акцент5 2 2" xfId="233"/>
    <cellStyle name="20% - Акцент5 2 2 2" xfId="234"/>
    <cellStyle name="20% - Акцент5 2 2 3" xfId="235"/>
    <cellStyle name="20% - Акцент5 2 3" xfId="236"/>
    <cellStyle name="20% - Акцент5 2 3 2" xfId="237"/>
    <cellStyle name="20% - Акцент5 2 4" xfId="238"/>
    <cellStyle name="20% - Акцент5 2 5" xfId="239"/>
    <cellStyle name="20% - Акцент5 20" xfId="240"/>
    <cellStyle name="20% - Акцент5 21" xfId="241"/>
    <cellStyle name="20% - Акцент5 22" xfId="242"/>
    <cellStyle name="20% - Акцент5 3" xfId="243"/>
    <cellStyle name="20% - Акцент5 3 2" xfId="244"/>
    <cellStyle name="20% - Акцент5 3 3" xfId="245"/>
    <cellStyle name="20% - Акцент5 3 4" xfId="246"/>
    <cellStyle name="20% - Акцент5 3 5" xfId="247"/>
    <cellStyle name="20% - Акцент5 4" xfId="248"/>
    <cellStyle name="20% - Акцент5 4 2" xfId="249"/>
    <cellStyle name="20% - Акцент5 4 3" xfId="250"/>
    <cellStyle name="20% - Акцент5 5" xfId="251"/>
    <cellStyle name="20% - Акцент5 5 2" xfId="252"/>
    <cellStyle name="20% - Акцент5 5 3" xfId="253"/>
    <cellStyle name="20% - Акцент5 6" xfId="254"/>
    <cellStyle name="20% - Акцент5 6 2" xfId="255"/>
    <cellStyle name="20% - Акцент5 6 3" xfId="256"/>
    <cellStyle name="20% - Акцент5 7" xfId="257"/>
    <cellStyle name="20% - Акцент5 7 2" xfId="258"/>
    <cellStyle name="20% - Акцент5 7 3" xfId="259"/>
    <cellStyle name="20% - Акцент5 8" xfId="260"/>
    <cellStyle name="20% - Акцент5 8 2" xfId="261"/>
    <cellStyle name="20% - Акцент5 9" xfId="262"/>
    <cellStyle name="20% - Акцент5 9 2" xfId="263"/>
    <cellStyle name="20% — акцент6" xfId="264"/>
    <cellStyle name="20% - Акцент6 10" xfId="265"/>
    <cellStyle name="20% - Акцент6 11" xfId="266"/>
    <cellStyle name="20% - Акцент6 12" xfId="267"/>
    <cellStyle name="20% - Акцент6 13" xfId="268"/>
    <cellStyle name="20% - Акцент6 14" xfId="269"/>
    <cellStyle name="20% - Акцент6 15" xfId="270"/>
    <cellStyle name="20% - Акцент6 16" xfId="271"/>
    <cellStyle name="20% - Акцент6 17" xfId="272"/>
    <cellStyle name="20% - Акцент6 18" xfId="273"/>
    <cellStyle name="20% - Акцент6 19" xfId="274"/>
    <cellStyle name="20% - Акцент6 2" xfId="275"/>
    <cellStyle name="20% - Акцент6 2 2" xfId="276"/>
    <cellStyle name="20% - Акцент6 2 2 2" xfId="277"/>
    <cellStyle name="20% - Акцент6 2 2 3" xfId="278"/>
    <cellStyle name="20% - Акцент6 2 3" xfId="279"/>
    <cellStyle name="20% - Акцент6 2 3 2" xfId="280"/>
    <cellStyle name="20% - Акцент6 2 4" xfId="281"/>
    <cellStyle name="20% - Акцент6 2 5" xfId="282"/>
    <cellStyle name="20% - Акцент6 20" xfId="283"/>
    <cellStyle name="20% - Акцент6 21" xfId="284"/>
    <cellStyle name="20% - Акцент6 22" xfId="285"/>
    <cellStyle name="20% - Акцент6 3" xfId="286"/>
    <cellStyle name="20% - Акцент6 3 2" xfId="287"/>
    <cellStyle name="20% - Акцент6 3 3" xfId="288"/>
    <cellStyle name="20% - Акцент6 3 4" xfId="289"/>
    <cellStyle name="20% - Акцент6 3 5" xfId="290"/>
    <cellStyle name="20% - Акцент6 4" xfId="291"/>
    <cellStyle name="20% - Акцент6 4 2" xfId="292"/>
    <cellStyle name="20% - Акцент6 4 3" xfId="293"/>
    <cellStyle name="20% - Акцент6 5" xfId="294"/>
    <cellStyle name="20% - Акцент6 5 2" xfId="295"/>
    <cellStyle name="20% - Акцент6 5 3" xfId="296"/>
    <cellStyle name="20% - Акцент6 6" xfId="297"/>
    <cellStyle name="20% - Акцент6 6 2" xfId="298"/>
    <cellStyle name="20% - Акцент6 6 3" xfId="299"/>
    <cellStyle name="20% - Акцент6 7" xfId="300"/>
    <cellStyle name="20% - Акцент6 7 2" xfId="301"/>
    <cellStyle name="20% - Акцент6 7 3" xfId="302"/>
    <cellStyle name="20% - Акцент6 8" xfId="303"/>
    <cellStyle name="20% - Акцент6 8 2" xfId="304"/>
    <cellStyle name="20% - Акцент6 9" xfId="305"/>
    <cellStyle name="20% - Акцент6 9 2" xfId="306"/>
    <cellStyle name="40% - Accent1" xfId="307"/>
    <cellStyle name="40% - Accent1 2" xfId="308"/>
    <cellStyle name="40% - Accent2" xfId="309"/>
    <cellStyle name="40% - Accent2 2" xfId="310"/>
    <cellStyle name="40% - Accent3" xfId="311"/>
    <cellStyle name="40% - Accent3 2" xfId="312"/>
    <cellStyle name="40% - Accent4" xfId="313"/>
    <cellStyle name="40% - Accent4 2" xfId="314"/>
    <cellStyle name="40% - Accent5" xfId="315"/>
    <cellStyle name="40% - Accent5 2" xfId="316"/>
    <cellStyle name="40% - Accent6" xfId="317"/>
    <cellStyle name="40% - Accent6 2" xfId="318"/>
    <cellStyle name="40% — акцент1" xfId="319"/>
    <cellStyle name="40% - Акцент1 10" xfId="320"/>
    <cellStyle name="40% - Акцент1 11" xfId="321"/>
    <cellStyle name="40% - Акцент1 12" xfId="322"/>
    <cellStyle name="40% - Акцент1 13" xfId="323"/>
    <cellStyle name="40% - Акцент1 14" xfId="324"/>
    <cellStyle name="40% - Акцент1 15" xfId="325"/>
    <cellStyle name="40% - Акцент1 16" xfId="326"/>
    <cellStyle name="40% - Акцент1 17" xfId="327"/>
    <cellStyle name="40% - Акцент1 18" xfId="328"/>
    <cellStyle name="40% - Акцент1 19" xfId="329"/>
    <cellStyle name="40% - Акцент1 2" xfId="330"/>
    <cellStyle name="40% - Акцент1 2 2" xfId="331"/>
    <cellStyle name="40% - Акцент1 2 2 2" xfId="332"/>
    <cellStyle name="40% - Акцент1 2 2 3" xfId="333"/>
    <cellStyle name="40% - Акцент1 2 3" xfId="334"/>
    <cellStyle name="40% - Акцент1 2 3 2" xfId="335"/>
    <cellStyle name="40% - Акцент1 2 4" xfId="336"/>
    <cellStyle name="40% - Акцент1 2 5" xfId="337"/>
    <cellStyle name="40% - Акцент1 20" xfId="338"/>
    <cellStyle name="40% - Акцент1 21" xfId="339"/>
    <cellStyle name="40% - Акцент1 22" xfId="340"/>
    <cellStyle name="40% - Акцент1 3" xfId="341"/>
    <cellStyle name="40% - Акцент1 3 2" xfId="342"/>
    <cellStyle name="40% - Акцент1 3 3" xfId="343"/>
    <cellStyle name="40% - Акцент1 3 4" xfId="344"/>
    <cellStyle name="40% - Акцент1 3 5" xfId="345"/>
    <cellStyle name="40% - Акцент1 4" xfId="346"/>
    <cellStyle name="40% - Акцент1 4 2" xfId="347"/>
    <cellStyle name="40% - Акцент1 4 3" xfId="348"/>
    <cellStyle name="40% - Акцент1 5" xfId="349"/>
    <cellStyle name="40% - Акцент1 5 2" xfId="350"/>
    <cellStyle name="40% - Акцент1 5 3" xfId="351"/>
    <cellStyle name="40% - Акцент1 6" xfId="352"/>
    <cellStyle name="40% - Акцент1 6 2" xfId="353"/>
    <cellStyle name="40% - Акцент1 6 3" xfId="354"/>
    <cellStyle name="40% - Акцент1 7" xfId="355"/>
    <cellStyle name="40% - Акцент1 7 2" xfId="356"/>
    <cellStyle name="40% - Акцент1 7 3" xfId="357"/>
    <cellStyle name="40% - Акцент1 8" xfId="358"/>
    <cellStyle name="40% - Акцент1 8 2" xfId="359"/>
    <cellStyle name="40% - Акцент1 9" xfId="360"/>
    <cellStyle name="40% - Акцент1 9 2" xfId="361"/>
    <cellStyle name="40% — акцент2" xfId="362"/>
    <cellStyle name="40% - Акцент2 10" xfId="363"/>
    <cellStyle name="40% - Акцент2 11" xfId="364"/>
    <cellStyle name="40% - Акцент2 12" xfId="365"/>
    <cellStyle name="40% - Акцент2 13" xfId="366"/>
    <cellStyle name="40% - Акцент2 14" xfId="367"/>
    <cellStyle name="40% - Акцент2 15" xfId="368"/>
    <cellStyle name="40% - Акцент2 16" xfId="369"/>
    <cellStyle name="40% - Акцент2 17" xfId="370"/>
    <cellStyle name="40% - Акцент2 18" xfId="371"/>
    <cellStyle name="40% - Акцент2 19" xfId="372"/>
    <cellStyle name="40% - Акцент2 2" xfId="373"/>
    <cellStyle name="40% - Акцент2 2 2" xfId="374"/>
    <cellStyle name="40% - Акцент2 2 2 2" xfId="375"/>
    <cellStyle name="40% - Акцент2 2 2 3" xfId="376"/>
    <cellStyle name="40% - Акцент2 2 3" xfId="377"/>
    <cellStyle name="40% - Акцент2 2 3 2" xfId="378"/>
    <cellStyle name="40% - Акцент2 2 4" xfId="379"/>
    <cellStyle name="40% - Акцент2 2 5" xfId="380"/>
    <cellStyle name="40% - Акцент2 20" xfId="381"/>
    <cellStyle name="40% - Акцент2 21" xfId="382"/>
    <cellStyle name="40% - Акцент2 22" xfId="383"/>
    <cellStyle name="40% - Акцент2 3" xfId="384"/>
    <cellStyle name="40% - Акцент2 3 2" xfId="385"/>
    <cellStyle name="40% - Акцент2 3 3" xfId="386"/>
    <cellStyle name="40% - Акцент2 3 4" xfId="387"/>
    <cellStyle name="40% - Акцент2 3 5" xfId="388"/>
    <cellStyle name="40% - Акцент2 4" xfId="389"/>
    <cellStyle name="40% - Акцент2 4 2" xfId="390"/>
    <cellStyle name="40% - Акцент2 4 3" xfId="391"/>
    <cellStyle name="40% - Акцент2 5" xfId="392"/>
    <cellStyle name="40% - Акцент2 5 2" xfId="393"/>
    <cellStyle name="40% - Акцент2 5 3" xfId="394"/>
    <cellStyle name="40% - Акцент2 6" xfId="395"/>
    <cellStyle name="40% - Акцент2 6 2" xfId="396"/>
    <cellStyle name="40% - Акцент2 6 3" xfId="397"/>
    <cellStyle name="40% - Акцент2 7" xfId="398"/>
    <cellStyle name="40% - Акцент2 7 2" xfId="399"/>
    <cellStyle name="40% - Акцент2 7 3" xfId="400"/>
    <cellStyle name="40% - Акцент2 8" xfId="401"/>
    <cellStyle name="40% - Акцент2 8 2" xfId="402"/>
    <cellStyle name="40% - Акцент2 9" xfId="403"/>
    <cellStyle name="40% - Акцент2 9 2" xfId="404"/>
    <cellStyle name="40% — акцент3" xfId="405"/>
    <cellStyle name="40% - Акцент3 10" xfId="406"/>
    <cellStyle name="40% - Акцент3 11" xfId="407"/>
    <cellStyle name="40% - Акцент3 12" xfId="408"/>
    <cellStyle name="40% - Акцент3 13" xfId="409"/>
    <cellStyle name="40% - Акцент3 14" xfId="410"/>
    <cellStyle name="40% - Акцент3 15" xfId="411"/>
    <cellStyle name="40% - Акцент3 16" xfId="412"/>
    <cellStyle name="40% - Акцент3 17" xfId="413"/>
    <cellStyle name="40% - Акцент3 18" xfId="414"/>
    <cellStyle name="40% - Акцент3 19" xfId="415"/>
    <cellStyle name="40% - Акцент3 2" xfId="416"/>
    <cellStyle name="40% - Акцент3 2 2" xfId="417"/>
    <cellStyle name="40% - Акцент3 2 2 2" xfId="418"/>
    <cellStyle name="40% - Акцент3 2 2 2 2" xfId="419"/>
    <cellStyle name="40% - Акцент3 2 2 3" xfId="420"/>
    <cellStyle name="40% - Акцент3 2 2 4" xfId="421"/>
    <cellStyle name="40% - Акцент3 2 3" xfId="422"/>
    <cellStyle name="40% - Акцент3 2 3 2" xfId="423"/>
    <cellStyle name="40% - Акцент3 2 3 3" xfId="424"/>
    <cellStyle name="40% - Акцент3 2 3 4" xfId="425"/>
    <cellStyle name="40% - Акцент3 2 4" xfId="426"/>
    <cellStyle name="40% - Акцент3 2 4 2" xfId="427"/>
    <cellStyle name="40% - Акцент3 2 4 3" xfId="428"/>
    <cellStyle name="40% - Акцент3 2 5" xfId="429"/>
    <cellStyle name="40% - Акцент3 20" xfId="430"/>
    <cellStyle name="40% - Акцент3 21" xfId="431"/>
    <cellStyle name="40% - Акцент3 22" xfId="432"/>
    <cellStyle name="40% - Акцент3 3" xfId="433"/>
    <cellStyle name="40% - Акцент3 3 2" xfId="434"/>
    <cellStyle name="40% - Акцент3 3 3" xfId="435"/>
    <cellStyle name="40% - Акцент3 3 4" xfId="436"/>
    <cellStyle name="40% - Акцент3 3 5" xfId="437"/>
    <cellStyle name="40% - Акцент3 4" xfId="438"/>
    <cellStyle name="40% - Акцент3 4 2" xfId="439"/>
    <cellStyle name="40% - Акцент3 4 3" xfId="440"/>
    <cellStyle name="40% - Акцент3 5" xfId="441"/>
    <cellStyle name="40% - Акцент3 5 2" xfId="442"/>
    <cellStyle name="40% - Акцент3 5 3" xfId="443"/>
    <cellStyle name="40% - Акцент3 6" xfId="444"/>
    <cellStyle name="40% - Акцент3 6 2" xfId="445"/>
    <cellStyle name="40% - Акцент3 6 3" xfId="446"/>
    <cellStyle name="40% - Акцент3 7" xfId="447"/>
    <cellStyle name="40% - Акцент3 7 2" xfId="448"/>
    <cellStyle name="40% - Акцент3 7 3" xfId="449"/>
    <cellStyle name="40% - Акцент3 8" xfId="450"/>
    <cellStyle name="40% - Акцент3 8 2" xfId="451"/>
    <cellStyle name="40% - Акцент3 9" xfId="452"/>
    <cellStyle name="40% - Акцент3 9 2" xfId="453"/>
    <cellStyle name="40% — акцент4" xfId="454"/>
    <cellStyle name="40% - Акцент4 10" xfId="455"/>
    <cellStyle name="40% - Акцент4 11" xfId="456"/>
    <cellStyle name="40% - Акцент4 12" xfId="457"/>
    <cellStyle name="40% - Акцент4 13" xfId="458"/>
    <cellStyle name="40% - Акцент4 14" xfId="459"/>
    <cellStyle name="40% - Акцент4 15" xfId="460"/>
    <cellStyle name="40% - Акцент4 16" xfId="461"/>
    <cellStyle name="40% - Акцент4 17" xfId="462"/>
    <cellStyle name="40% - Акцент4 18" xfId="463"/>
    <cellStyle name="40% - Акцент4 19" xfId="464"/>
    <cellStyle name="40% - Акцент4 2" xfId="465"/>
    <cellStyle name="40% - Акцент4 2 2" xfId="466"/>
    <cellStyle name="40% - Акцент4 2 2 2" xfId="467"/>
    <cellStyle name="40% - Акцент4 2 2 3" xfId="468"/>
    <cellStyle name="40% - Акцент4 2 3" xfId="469"/>
    <cellStyle name="40% - Акцент4 2 3 2" xfId="470"/>
    <cellStyle name="40% - Акцент4 2 4" xfId="471"/>
    <cellStyle name="40% - Акцент4 2 5" xfId="472"/>
    <cellStyle name="40% - Акцент4 20" xfId="473"/>
    <cellStyle name="40% - Акцент4 21" xfId="474"/>
    <cellStyle name="40% - Акцент4 22" xfId="475"/>
    <cellStyle name="40% - Акцент4 3" xfId="476"/>
    <cellStyle name="40% - Акцент4 3 2" xfId="477"/>
    <cellStyle name="40% - Акцент4 3 3" xfId="478"/>
    <cellStyle name="40% - Акцент4 3 4" xfId="479"/>
    <cellStyle name="40% - Акцент4 3 5" xfId="480"/>
    <cellStyle name="40% - Акцент4 4" xfId="481"/>
    <cellStyle name="40% - Акцент4 4 2" xfId="482"/>
    <cellStyle name="40% - Акцент4 4 3" xfId="483"/>
    <cellStyle name="40% - Акцент4 5" xfId="484"/>
    <cellStyle name="40% - Акцент4 5 2" xfId="485"/>
    <cellStyle name="40% - Акцент4 5 3" xfId="486"/>
    <cellStyle name="40% - Акцент4 6" xfId="487"/>
    <cellStyle name="40% - Акцент4 6 2" xfId="488"/>
    <cellStyle name="40% - Акцент4 6 3" xfId="489"/>
    <cellStyle name="40% - Акцент4 7" xfId="490"/>
    <cellStyle name="40% - Акцент4 7 2" xfId="491"/>
    <cellStyle name="40% - Акцент4 7 3" xfId="492"/>
    <cellStyle name="40% - Акцент4 8" xfId="493"/>
    <cellStyle name="40% - Акцент4 8 2" xfId="494"/>
    <cellStyle name="40% - Акцент4 9" xfId="495"/>
    <cellStyle name="40% - Акцент4 9 2" xfId="496"/>
    <cellStyle name="40% — акцент5" xfId="497"/>
    <cellStyle name="40% - Акцент5 10" xfId="498"/>
    <cellStyle name="40% - Акцент5 11" xfId="499"/>
    <cellStyle name="40% - Акцент5 12" xfId="500"/>
    <cellStyle name="40% - Акцент5 13" xfId="501"/>
    <cellStyle name="40% - Акцент5 14" xfId="502"/>
    <cellStyle name="40% - Акцент5 15" xfId="503"/>
    <cellStyle name="40% - Акцент5 16" xfId="504"/>
    <cellStyle name="40% - Акцент5 17" xfId="505"/>
    <cellStyle name="40% - Акцент5 18" xfId="506"/>
    <cellStyle name="40% - Акцент5 19" xfId="507"/>
    <cellStyle name="40% - Акцент5 2" xfId="508"/>
    <cellStyle name="40% - Акцент5 2 2" xfId="509"/>
    <cellStyle name="40% - Акцент5 2 2 2" xfId="510"/>
    <cellStyle name="40% - Акцент5 2 2 3" xfId="511"/>
    <cellStyle name="40% - Акцент5 2 3" xfId="512"/>
    <cellStyle name="40% - Акцент5 2 3 2" xfId="513"/>
    <cellStyle name="40% - Акцент5 2 4" xfId="514"/>
    <cellStyle name="40% - Акцент5 2 5" xfId="515"/>
    <cellStyle name="40% - Акцент5 20" xfId="516"/>
    <cellStyle name="40% - Акцент5 21" xfId="517"/>
    <cellStyle name="40% - Акцент5 22" xfId="518"/>
    <cellStyle name="40% - Акцент5 3" xfId="519"/>
    <cellStyle name="40% - Акцент5 3 2" xfId="520"/>
    <cellStyle name="40% - Акцент5 3 3" xfId="521"/>
    <cellStyle name="40% - Акцент5 3 4" xfId="522"/>
    <cellStyle name="40% - Акцент5 3 5" xfId="523"/>
    <cellStyle name="40% - Акцент5 4" xfId="524"/>
    <cellStyle name="40% - Акцент5 4 2" xfId="525"/>
    <cellStyle name="40% - Акцент5 4 3" xfId="526"/>
    <cellStyle name="40% - Акцент5 5" xfId="527"/>
    <cellStyle name="40% - Акцент5 5 2" xfId="528"/>
    <cellStyle name="40% - Акцент5 5 3" xfId="529"/>
    <cellStyle name="40% - Акцент5 6" xfId="530"/>
    <cellStyle name="40% - Акцент5 6 2" xfId="531"/>
    <cellStyle name="40% - Акцент5 6 3" xfId="532"/>
    <cellStyle name="40% - Акцент5 7" xfId="533"/>
    <cellStyle name="40% - Акцент5 7 2" xfId="534"/>
    <cellStyle name="40% - Акцент5 7 3" xfId="535"/>
    <cellStyle name="40% - Акцент5 8" xfId="536"/>
    <cellStyle name="40% - Акцент5 8 2" xfId="537"/>
    <cellStyle name="40% - Акцент5 9" xfId="538"/>
    <cellStyle name="40% - Акцент5 9 2" xfId="539"/>
    <cellStyle name="40% — акцент6" xfId="540"/>
    <cellStyle name="40% - Акцент6 10" xfId="541"/>
    <cellStyle name="40% - Акцент6 11" xfId="542"/>
    <cellStyle name="40% - Акцент6 12" xfId="543"/>
    <cellStyle name="40% - Акцент6 13" xfId="544"/>
    <cellStyle name="40% - Акцент6 14" xfId="545"/>
    <cellStyle name="40% - Акцент6 15" xfId="546"/>
    <cellStyle name="40% - Акцент6 16" xfId="547"/>
    <cellStyle name="40% - Акцент6 17" xfId="548"/>
    <cellStyle name="40% - Акцент6 18" xfId="549"/>
    <cellStyle name="40% - Акцент6 19" xfId="550"/>
    <cellStyle name="40% - Акцент6 2" xfId="551"/>
    <cellStyle name="40% - Акцент6 2 2" xfId="552"/>
    <cellStyle name="40% - Акцент6 2 2 2" xfId="553"/>
    <cellStyle name="40% - Акцент6 2 2 3" xfId="554"/>
    <cellStyle name="40% - Акцент6 2 3" xfId="555"/>
    <cellStyle name="40% - Акцент6 2 3 2" xfId="556"/>
    <cellStyle name="40% - Акцент6 2 4" xfId="557"/>
    <cellStyle name="40% - Акцент6 2 5" xfId="558"/>
    <cellStyle name="40% - Акцент6 20" xfId="559"/>
    <cellStyle name="40% - Акцент6 21" xfId="560"/>
    <cellStyle name="40% - Акцент6 22" xfId="561"/>
    <cellStyle name="40% - Акцент6 3" xfId="562"/>
    <cellStyle name="40% - Акцент6 3 2" xfId="563"/>
    <cellStyle name="40% - Акцент6 3 3" xfId="564"/>
    <cellStyle name="40% - Акцент6 3 4" xfId="565"/>
    <cellStyle name="40% - Акцент6 3 5" xfId="566"/>
    <cellStyle name="40% - Акцент6 4" xfId="567"/>
    <cellStyle name="40% - Акцент6 4 2" xfId="568"/>
    <cellStyle name="40% - Акцент6 4 3" xfId="569"/>
    <cellStyle name="40% - Акцент6 5" xfId="570"/>
    <cellStyle name="40% - Акцент6 5 2" xfId="571"/>
    <cellStyle name="40% - Акцент6 5 3" xfId="572"/>
    <cellStyle name="40% - Акцент6 6" xfId="573"/>
    <cellStyle name="40% - Акцент6 6 2" xfId="574"/>
    <cellStyle name="40% - Акцент6 6 3" xfId="575"/>
    <cellStyle name="40% - Акцент6 7" xfId="576"/>
    <cellStyle name="40% - Акцент6 7 2" xfId="577"/>
    <cellStyle name="40% - Акцент6 7 3" xfId="578"/>
    <cellStyle name="40% - Акцент6 8" xfId="579"/>
    <cellStyle name="40% - Акцент6 8 2" xfId="580"/>
    <cellStyle name="40% - Акцент6 9" xfId="581"/>
    <cellStyle name="40% - Акцент6 9 2" xfId="582"/>
    <cellStyle name="60% - Accent1" xfId="583"/>
    <cellStyle name="60% - Accent1 2" xfId="584"/>
    <cellStyle name="60% - Accent2" xfId="585"/>
    <cellStyle name="60% - Accent2 2" xfId="586"/>
    <cellStyle name="60% - Accent3" xfId="587"/>
    <cellStyle name="60% - Accent3 2" xfId="588"/>
    <cellStyle name="60% - Accent4" xfId="589"/>
    <cellStyle name="60% - Accent4 2" xfId="590"/>
    <cellStyle name="60% - Accent5" xfId="591"/>
    <cellStyle name="60% - Accent5 2" xfId="592"/>
    <cellStyle name="60% - Accent6" xfId="593"/>
    <cellStyle name="60% - Accent6 2" xfId="594"/>
    <cellStyle name="60% — акцент1" xfId="595"/>
    <cellStyle name="60% - Акцент1 2" xfId="596"/>
    <cellStyle name="60% - Акцент1 3" xfId="597"/>
    <cellStyle name="60% - Акцент1 4" xfId="598"/>
    <cellStyle name="60% — акцент2" xfId="599"/>
    <cellStyle name="60% - Акцент2 2" xfId="600"/>
    <cellStyle name="60% - Акцент2 3" xfId="601"/>
    <cellStyle name="60% - Акцент2 4" xfId="602"/>
    <cellStyle name="60% — акцент3" xfId="603"/>
    <cellStyle name="60% - Акцент3 2" xfId="604"/>
    <cellStyle name="60% - Акцент3 2 2" xfId="605"/>
    <cellStyle name="60% - Акцент3 2 3" xfId="606"/>
    <cellStyle name="60% - Акцент3 3" xfId="607"/>
    <cellStyle name="60% - Акцент3 4" xfId="608"/>
    <cellStyle name="60% — акцент4" xfId="609"/>
    <cellStyle name="60% - Акцент4 2" xfId="610"/>
    <cellStyle name="60% - Акцент4 2 2" xfId="611"/>
    <cellStyle name="60% - Акцент4 2 3" xfId="612"/>
    <cellStyle name="60% - Акцент4 3" xfId="613"/>
    <cellStyle name="60% - Акцент4 4" xfId="614"/>
    <cellStyle name="60% — акцент5" xfId="615"/>
    <cellStyle name="60% - Акцент5 2" xfId="616"/>
    <cellStyle name="60% - Акцент5 3" xfId="617"/>
    <cellStyle name="60% - Акцент5 4" xfId="618"/>
    <cellStyle name="60% — акцент6" xfId="619"/>
    <cellStyle name="60% - Акцент6 2" xfId="620"/>
    <cellStyle name="60% - Акцент6 2 2" xfId="621"/>
    <cellStyle name="60% - Акцент6 2 3" xfId="622"/>
    <cellStyle name="60% - Акцент6 3" xfId="623"/>
    <cellStyle name="60% - Акцент6 4" xfId="624"/>
    <cellStyle name="Accent1" xfId="625"/>
    <cellStyle name="Accent1 2" xfId="626"/>
    <cellStyle name="Accent2" xfId="627"/>
    <cellStyle name="Accent2 2" xfId="628"/>
    <cellStyle name="Accent3" xfId="629"/>
    <cellStyle name="Accent3 2" xfId="630"/>
    <cellStyle name="Accent4" xfId="631"/>
    <cellStyle name="Accent4 2" xfId="632"/>
    <cellStyle name="Accent5" xfId="633"/>
    <cellStyle name="Accent5 2" xfId="634"/>
    <cellStyle name="Accent6" xfId="635"/>
    <cellStyle name="Accent6 2" xfId="636"/>
    <cellStyle name="Bad" xfId="637"/>
    <cellStyle name="Calculation" xfId="638"/>
    <cellStyle name="Calculation 2" xfId="639"/>
    <cellStyle name="Check Cell" xfId="640"/>
    <cellStyle name="Check Cell 2" xfId="641"/>
    <cellStyle name="Comma" xfId="642"/>
    <cellStyle name="Comma [0]" xfId="643"/>
    <cellStyle name="Comma [0] 2" xfId="644"/>
    <cellStyle name="Comma [0]_Forma" xfId="645"/>
    <cellStyle name="Comma 10" xfId="646"/>
    <cellStyle name="Comma 11" xfId="647"/>
    <cellStyle name="Comma 12" xfId="648"/>
    <cellStyle name="Comma 13" xfId="649"/>
    <cellStyle name="Comma 14" xfId="650"/>
    <cellStyle name="Comma 15" xfId="651"/>
    <cellStyle name="Comma 16" xfId="652"/>
    <cellStyle name="Comma 17" xfId="653"/>
    <cellStyle name="Comma 18" xfId="654"/>
    <cellStyle name="Comma 19" xfId="655"/>
    <cellStyle name="Comma 2" xfId="656"/>
    <cellStyle name="Comma 20" xfId="657"/>
    <cellStyle name="Comma 20 2" xfId="658"/>
    <cellStyle name="Comma 21" xfId="659"/>
    <cellStyle name="Comma 21 2" xfId="660"/>
    <cellStyle name="Comma 22" xfId="661"/>
    <cellStyle name="Comma 22 2" xfId="662"/>
    <cellStyle name="Comma 23" xfId="663"/>
    <cellStyle name="Comma 23 2" xfId="664"/>
    <cellStyle name="Comma 24" xfId="665"/>
    <cellStyle name="Comma 24 2" xfId="666"/>
    <cellStyle name="Comma 25" xfId="667"/>
    <cellStyle name="Comma 25 2" xfId="668"/>
    <cellStyle name="Comma 3" xfId="669"/>
    <cellStyle name="Comma 4" xfId="670"/>
    <cellStyle name="Comma 5" xfId="671"/>
    <cellStyle name="Comma 6" xfId="672"/>
    <cellStyle name="Comma 7" xfId="673"/>
    <cellStyle name="Comma 8" xfId="674"/>
    <cellStyle name="Comma 9" xfId="675"/>
    <cellStyle name="Comma_Forma" xfId="676"/>
    <cellStyle name="Currency" xfId="677"/>
    <cellStyle name="Currency [0]" xfId="678"/>
    <cellStyle name="Currency [0] 2" xfId="679"/>
    <cellStyle name="Currency [0]_Forma" xfId="680"/>
    <cellStyle name="Currency 10" xfId="681"/>
    <cellStyle name="Currency 11" xfId="682"/>
    <cellStyle name="Currency 12" xfId="683"/>
    <cellStyle name="Currency 13" xfId="684"/>
    <cellStyle name="Currency 14" xfId="685"/>
    <cellStyle name="Currency 15" xfId="686"/>
    <cellStyle name="Currency 16" xfId="687"/>
    <cellStyle name="Currency 17" xfId="688"/>
    <cellStyle name="Currency 18" xfId="689"/>
    <cellStyle name="Currency 19" xfId="690"/>
    <cellStyle name="Currency 2" xfId="691"/>
    <cellStyle name="Currency 20" xfId="692"/>
    <cellStyle name="Currency 20 2" xfId="693"/>
    <cellStyle name="Currency 21" xfId="694"/>
    <cellStyle name="Currency 21 2" xfId="695"/>
    <cellStyle name="Currency 22" xfId="696"/>
    <cellStyle name="Currency 22 2" xfId="697"/>
    <cellStyle name="Currency 23" xfId="698"/>
    <cellStyle name="Currency 23 2" xfId="699"/>
    <cellStyle name="Currency 24" xfId="700"/>
    <cellStyle name="Currency 24 2" xfId="701"/>
    <cellStyle name="Currency 25" xfId="702"/>
    <cellStyle name="Currency 25 2" xfId="703"/>
    <cellStyle name="Currency 3" xfId="704"/>
    <cellStyle name="Currency 4" xfId="705"/>
    <cellStyle name="Currency 5" xfId="706"/>
    <cellStyle name="Currency 6" xfId="707"/>
    <cellStyle name="Currency 7" xfId="708"/>
    <cellStyle name="Currency 8" xfId="709"/>
    <cellStyle name="Currency 9" xfId="710"/>
    <cellStyle name="Currency_Forma" xfId="711"/>
    <cellStyle name="Date" xfId="712"/>
    <cellStyle name="Explanatory Text" xfId="713"/>
    <cellStyle name="Fixed" xfId="714"/>
    <cellStyle name="Good" xfId="715"/>
    <cellStyle name="Heading 1" xfId="716"/>
    <cellStyle name="Heading 1 2" xfId="717"/>
    <cellStyle name="Heading 2" xfId="718"/>
    <cellStyle name="Heading 2 2" xfId="719"/>
    <cellStyle name="Heading 3" xfId="720"/>
    <cellStyle name="Heading 3 2" xfId="721"/>
    <cellStyle name="Heading 4" xfId="722"/>
    <cellStyle name="Heading 4 2" xfId="723"/>
    <cellStyle name="Heading1" xfId="724"/>
    <cellStyle name="Heading2" xfId="725"/>
    <cellStyle name="Îáű÷íűé_ÂŰŐÎÄ" xfId="726"/>
    <cellStyle name="Input" xfId="727"/>
    <cellStyle name="Input 2" xfId="728"/>
    <cellStyle name="Linked Cell" xfId="729"/>
    <cellStyle name="Neutral" xfId="730"/>
    <cellStyle name="Normal" xfId="731"/>
    <cellStyle name="Normal 2" xfId="732"/>
    <cellStyle name="Normal 2 2" xfId="733"/>
    <cellStyle name="Normal 2 2 2" xfId="734"/>
    <cellStyle name="Normal 2 2 2 2" xfId="735"/>
    <cellStyle name="Normal 2 2 2 3" xfId="736"/>
    <cellStyle name="Normal 2 2 3" xfId="737"/>
    <cellStyle name="Normal 2 2 3 2" xfId="738"/>
    <cellStyle name="Normal 2 2 3 3" xfId="739"/>
    <cellStyle name="Normal 2 2 4" xfId="740"/>
    <cellStyle name="Normal 2 2 5" xfId="741"/>
    <cellStyle name="Normal 2 3" xfId="742"/>
    <cellStyle name="Normal 2 3 2" xfId="743"/>
    <cellStyle name="Normal 2 3 3" xfId="744"/>
    <cellStyle name="Normal 2 4" xfId="745"/>
    <cellStyle name="Normal 3" xfId="746"/>
    <cellStyle name="Normal 3 2" xfId="747"/>
    <cellStyle name="Normal 3 2 2" xfId="748"/>
    <cellStyle name="Normal 3 2 3" xfId="749"/>
    <cellStyle name="Normal 3 3" xfId="750"/>
    <cellStyle name="Normal 3 3 2" xfId="751"/>
    <cellStyle name="Normal 3 3 3" xfId="752"/>
    <cellStyle name="Normal 3 4" xfId="753"/>
    <cellStyle name="Normal 3 4 2" xfId="754"/>
    <cellStyle name="Normal 3 4 3" xfId="755"/>
    <cellStyle name="Normal 4" xfId="756"/>
    <cellStyle name="Normal 4 2" xfId="757"/>
    <cellStyle name="Normal 4 3" xfId="758"/>
    <cellStyle name="Normal 5" xfId="759"/>
    <cellStyle name="Normal 5 2" xfId="760"/>
    <cellStyle name="Note" xfId="761"/>
    <cellStyle name="Note 2" xfId="762"/>
    <cellStyle name="Output" xfId="763"/>
    <cellStyle name="Output 2" xfId="764"/>
    <cellStyle name="Percent" xfId="765"/>
    <cellStyle name="Percent 2" xfId="766"/>
    <cellStyle name="Percent 3" xfId="767"/>
    <cellStyle name="Percent 3 2" xfId="768"/>
    <cellStyle name="Title" xfId="769"/>
    <cellStyle name="Title 2" xfId="770"/>
    <cellStyle name="Total" xfId="771"/>
    <cellStyle name="Total 2" xfId="772"/>
    <cellStyle name="Total 3" xfId="773"/>
    <cellStyle name="Total 4" xfId="774"/>
    <cellStyle name="Warning Text" xfId="775"/>
    <cellStyle name="Акцент1" xfId="776"/>
    <cellStyle name="Акцент1 2" xfId="777"/>
    <cellStyle name="Акцент1 3" xfId="778"/>
    <cellStyle name="Акцент1 4" xfId="779"/>
    <cellStyle name="Акцент2" xfId="780"/>
    <cellStyle name="Акцент2 2" xfId="781"/>
    <cellStyle name="Акцент2 3" xfId="782"/>
    <cellStyle name="Акцент2 4" xfId="783"/>
    <cellStyle name="Акцент3" xfId="784"/>
    <cellStyle name="Акцент3 2" xfId="785"/>
    <cellStyle name="Акцент3 3" xfId="786"/>
    <cellStyle name="Акцент3 4" xfId="787"/>
    <cellStyle name="Акцент4" xfId="788"/>
    <cellStyle name="Акцент4 2" xfId="789"/>
    <cellStyle name="Акцент4 3" xfId="790"/>
    <cellStyle name="Акцент4 4" xfId="791"/>
    <cellStyle name="Акцент5" xfId="792"/>
    <cellStyle name="Акцент5 2" xfId="793"/>
    <cellStyle name="Акцент5 3" xfId="794"/>
    <cellStyle name="Акцент5 4" xfId="795"/>
    <cellStyle name="Акцент6" xfId="796"/>
    <cellStyle name="Акцент6 2" xfId="797"/>
    <cellStyle name="Акцент6 3" xfId="798"/>
    <cellStyle name="Акцент6 4" xfId="799"/>
    <cellStyle name="Ввод " xfId="800"/>
    <cellStyle name="Ввод  2" xfId="801"/>
    <cellStyle name="Ввод  3" xfId="802"/>
    <cellStyle name="Ввод  4" xfId="803"/>
    <cellStyle name="Вывод" xfId="804"/>
    <cellStyle name="Вывод 2" xfId="805"/>
    <cellStyle name="Вывод 3" xfId="806"/>
    <cellStyle name="Вывод 4" xfId="807"/>
    <cellStyle name="Вычисление" xfId="808"/>
    <cellStyle name="Вычисление 2" xfId="809"/>
    <cellStyle name="Вычисление 3" xfId="810"/>
    <cellStyle name="Вычисление 4" xfId="811"/>
    <cellStyle name="Hyperlink" xfId="812"/>
    <cellStyle name="Гиперссылка 2" xfId="813"/>
    <cellStyle name="Currency" xfId="814"/>
    <cellStyle name="Currency [0]" xfId="815"/>
    <cellStyle name="Денежный 2" xfId="816"/>
    <cellStyle name="Денежный 2 2" xfId="817"/>
    <cellStyle name="Денежный 3" xfId="818"/>
    <cellStyle name="Заголовок" xfId="819"/>
    <cellStyle name="Заголовок 1" xfId="820"/>
    <cellStyle name="Заголовок 1 2" xfId="821"/>
    <cellStyle name="Заголовок 1 3" xfId="822"/>
    <cellStyle name="Заголовок 1 4" xfId="823"/>
    <cellStyle name="Заголовок 2" xfId="824"/>
    <cellStyle name="Заголовок 2 2" xfId="825"/>
    <cellStyle name="Заголовок 2 3" xfId="826"/>
    <cellStyle name="Заголовок 2 4" xfId="827"/>
    <cellStyle name="Заголовок 3" xfId="828"/>
    <cellStyle name="Заголовок 3 2" xfId="829"/>
    <cellStyle name="Заголовок 3 3" xfId="830"/>
    <cellStyle name="Заголовок 3 4" xfId="831"/>
    <cellStyle name="Заголовок 4" xfId="832"/>
    <cellStyle name="Заголовок 4 2" xfId="833"/>
    <cellStyle name="Заголовок 4 3" xfId="834"/>
    <cellStyle name="Заголовок 4 4" xfId="835"/>
    <cellStyle name="Итог" xfId="836"/>
    <cellStyle name="Итог 2" xfId="837"/>
    <cellStyle name="Итог 3" xfId="838"/>
    <cellStyle name="Итог 4" xfId="839"/>
    <cellStyle name="Контрольная ячейка" xfId="840"/>
    <cellStyle name="Контрольная ячейка 2" xfId="841"/>
    <cellStyle name="Контрольная ячейка 3" xfId="842"/>
    <cellStyle name="Контрольная ячейка 4" xfId="843"/>
    <cellStyle name="Месяцев" xfId="844"/>
    <cellStyle name="Миллион человек" xfId="845"/>
    <cellStyle name="Название" xfId="846"/>
    <cellStyle name="Название 2" xfId="847"/>
    <cellStyle name="Название 3" xfId="848"/>
    <cellStyle name="Название 4" xfId="849"/>
    <cellStyle name="Нейтральный" xfId="850"/>
    <cellStyle name="Нейтральный 2" xfId="851"/>
    <cellStyle name="Нейтральный 3" xfId="852"/>
    <cellStyle name="Нейтральный 4" xfId="853"/>
    <cellStyle name="Обычный 10" xfId="854"/>
    <cellStyle name="Обычный 10 10" xfId="855"/>
    <cellStyle name="Обычный 10 2" xfId="856"/>
    <cellStyle name="Обычный 10 2 2" xfId="857"/>
    <cellStyle name="Обычный 10 2 2 2" xfId="858"/>
    <cellStyle name="Обычный 10 2 2 3" xfId="859"/>
    <cellStyle name="Обычный 10 2 3" xfId="860"/>
    <cellStyle name="Обычный 10 2 3 2" xfId="861"/>
    <cellStyle name="Обычный 10 2 4" xfId="862"/>
    <cellStyle name="Обычный 10 2 5" xfId="863"/>
    <cellStyle name="Обычный 10 3" xfId="864"/>
    <cellStyle name="Обычный 10 3 2" xfId="865"/>
    <cellStyle name="Обычный 10 3 3" xfId="866"/>
    <cellStyle name="Обычный 10 4" xfId="867"/>
    <cellStyle name="Обычный 10 4 2" xfId="868"/>
    <cellStyle name="Обычный 10 5" xfId="869"/>
    <cellStyle name="Обычный 10 6" xfId="870"/>
    <cellStyle name="Обычный 10 7" xfId="871"/>
    <cellStyle name="Обычный 10 8" xfId="872"/>
    <cellStyle name="Обычный 10 9" xfId="873"/>
    <cellStyle name="Обычный 100" xfId="874"/>
    <cellStyle name="Обычный 100 2" xfId="875"/>
    <cellStyle name="Обычный 100 2 2" xfId="876"/>
    <cellStyle name="Обычный 100 3" xfId="877"/>
    <cellStyle name="Обычный 100 4" xfId="878"/>
    <cellStyle name="Обычный 101" xfId="879"/>
    <cellStyle name="Обычный 101 2" xfId="880"/>
    <cellStyle name="Обычный 101 2 2" xfId="881"/>
    <cellStyle name="Обычный 101 3" xfId="882"/>
    <cellStyle name="Обычный 101 4" xfId="883"/>
    <cellStyle name="Обычный 102" xfId="884"/>
    <cellStyle name="Обычный 102 2" xfId="885"/>
    <cellStyle name="Обычный 102 2 2" xfId="886"/>
    <cellStyle name="Обычный 102 3" xfId="887"/>
    <cellStyle name="Обычный 102 4" xfId="888"/>
    <cellStyle name="Обычный 103" xfId="889"/>
    <cellStyle name="Обычный 103 2" xfId="890"/>
    <cellStyle name="Обычный 103 2 2" xfId="891"/>
    <cellStyle name="Обычный 103 3" xfId="892"/>
    <cellStyle name="Обычный 103 4" xfId="893"/>
    <cellStyle name="Обычный 104" xfId="894"/>
    <cellStyle name="Обычный 104 2" xfId="895"/>
    <cellStyle name="Обычный 104 2 2" xfId="896"/>
    <cellStyle name="Обычный 104 3" xfId="897"/>
    <cellStyle name="Обычный 104 4" xfId="898"/>
    <cellStyle name="Обычный 105" xfId="899"/>
    <cellStyle name="Обычный 105 2" xfId="900"/>
    <cellStyle name="Обычный 105 2 2" xfId="901"/>
    <cellStyle name="Обычный 105 3" xfId="902"/>
    <cellStyle name="Обычный 105 4" xfId="903"/>
    <cellStyle name="Обычный 106" xfId="904"/>
    <cellStyle name="Обычный 106 2" xfId="905"/>
    <cellStyle name="Обычный 106 2 2" xfId="906"/>
    <cellStyle name="Обычный 106 3" xfId="907"/>
    <cellStyle name="Обычный 106 4" xfId="908"/>
    <cellStyle name="Обычный 107" xfId="909"/>
    <cellStyle name="Обычный 107 2" xfId="910"/>
    <cellStyle name="Обычный 107 2 2" xfId="911"/>
    <cellStyle name="Обычный 107 3" xfId="912"/>
    <cellStyle name="Обычный 107 4" xfId="913"/>
    <cellStyle name="Обычный 108" xfId="914"/>
    <cellStyle name="Обычный 108 2" xfId="915"/>
    <cellStyle name="Обычный 108 2 2" xfId="916"/>
    <cellStyle name="Обычный 108 3" xfId="917"/>
    <cellStyle name="Обычный 108 4" xfId="918"/>
    <cellStyle name="Обычный 109" xfId="919"/>
    <cellStyle name="Обычный 11" xfId="920"/>
    <cellStyle name="Обычный 11 2" xfId="921"/>
    <cellStyle name="Обычный 11 2 2" xfId="922"/>
    <cellStyle name="Обычный 11 3" xfId="923"/>
    <cellStyle name="Обычный 11 3 2" xfId="924"/>
    <cellStyle name="Обычный 11 4" xfId="925"/>
    <cellStyle name="Обычный 11 5" xfId="926"/>
    <cellStyle name="Обычный 110" xfId="927"/>
    <cellStyle name="Обычный 110 2" xfId="928"/>
    <cellStyle name="Обычный 110 2 2" xfId="929"/>
    <cellStyle name="Обычный 110 3" xfId="930"/>
    <cellStyle name="Обычный 110 4" xfId="931"/>
    <cellStyle name="Обычный 111" xfId="932"/>
    <cellStyle name="Обычный 111 2" xfId="933"/>
    <cellStyle name="Обычный 111 2 2" xfId="934"/>
    <cellStyle name="Обычный 111 3" xfId="935"/>
    <cellStyle name="Обычный 111 4" xfId="936"/>
    <cellStyle name="Обычный 112" xfId="937"/>
    <cellStyle name="Обычный 112 2" xfId="938"/>
    <cellStyle name="Обычный 112 2 2" xfId="939"/>
    <cellStyle name="Обычный 112 3" xfId="940"/>
    <cellStyle name="Обычный 112 4" xfId="941"/>
    <cellStyle name="Обычный 113" xfId="942"/>
    <cellStyle name="Обычный 113 2" xfId="943"/>
    <cellStyle name="Обычный 113 2 2" xfId="944"/>
    <cellStyle name="Обычный 113 3" xfId="945"/>
    <cellStyle name="Обычный 113 4" xfId="946"/>
    <cellStyle name="Обычный 114" xfId="947"/>
    <cellStyle name="Обычный 114 2" xfId="948"/>
    <cellStyle name="Обычный 114 2 2" xfId="949"/>
    <cellStyle name="Обычный 114 3" xfId="950"/>
    <cellStyle name="Обычный 114 4" xfId="951"/>
    <cellStyle name="Обычный 115" xfId="952"/>
    <cellStyle name="Обычный 115 2" xfId="953"/>
    <cellStyle name="Обычный 115 2 2" xfId="954"/>
    <cellStyle name="Обычный 115 3" xfId="955"/>
    <cellStyle name="Обычный 115 4" xfId="956"/>
    <cellStyle name="Обычный 116" xfId="957"/>
    <cellStyle name="Обычный 116 2" xfId="958"/>
    <cellStyle name="Обычный 116 2 2" xfId="959"/>
    <cellStyle name="Обычный 116 3" xfId="960"/>
    <cellStyle name="Обычный 116 4" xfId="961"/>
    <cellStyle name="Обычный 117" xfId="962"/>
    <cellStyle name="Обычный 117 2" xfId="963"/>
    <cellStyle name="Обычный 117 2 2" xfId="964"/>
    <cellStyle name="Обычный 117 3" xfId="965"/>
    <cellStyle name="Обычный 117 4" xfId="966"/>
    <cellStyle name="Обычный 118" xfId="967"/>
    <cellStyle name="Обычный 118 2" xfId="968"/>
    <cellStyle name="Обычный 118 2 2" xfId="969"/>
    <cellStyle name="Обычный 118 3" xfId="970"/>
    <cellStyle name="Обычный 118 4" xfId="971"/>
    <cellStyle name="Обычный 119" xfId="972"/>
    <cellStyle name="Обычный 119 2" xfId="973"/>
    <cellStyle name="Обычный 119 2 2" xfId="974"/>
    <cellStyle name="Обычный 119 3" xfId="975"/>
    <cellStyle name="Обычный 119 4" xfId="976"/>
    <cellStyle name="Обычный 12" xfId="977"/>
    <cellStyle name="Обычный 12 2" xfId="978"/>
    <cellStyle name="Обычный 12 2 2" xfId="979"/>
    <cellStyle name="Обычный 12 3" xfId="980"/>
    <cellStyle name="Обычный 12 3 2" xfId="981"/>
    <cellStyle name="Обычный 12 4" xfId="982"/>
    <cellStyle name="Обычный 12 5" xfId="983"/>
    <cellStyle name="Обычный 120" xfId="984"/>
    <cellStyle name="Обычный 120 2" xfId="985"/>
    <cellStyle name="Обычный 120 2 2" xfId="986"/>
    <cellStyle name="Обычный 120 3" xfId="987"/>
    <cellStyle name="Обычный 120 4" xfId="988"/>
    <cellStyle name="Обычный 121" xfId="989"/>
    <cellStyle name="Обычный 121 2" xfId="990"/>
    <cellStyle name="Обычный 121 2 2" xfId="991"/>
    <cellStyle name="Обычный 121 3" xfId="992"/>
    <cellStyle name="Обычный 121 4" xfId="993"/>
    <cellStyle name="Обычный 122" xfId="994"/>
    <cellStyle name="Обычный 122 2" xfId="995"/>
    <cellStyle name="Обычный 122 2 2" xfId="996"/>
    <cellStyle name="Обычный 122 3" xfId="997"/>
    <cellStyle name="Обычный 122 4" xfId="998"/>
    <cellStyle name="Обычный 123" xfId="999"/>
    <cellStyle name="Обычный 123 2" xfId="1000"/>
    <cellStyle name="Обычный 123 2 2" xfId="1001"/>
    <cellStyle name="Обычный 123 3" xfId="1002"/>
    <cellStyle name="Обычный 123 4" xfId="1003"/>
    <cellStyle name="Обычный 124" xfId="1004"/>
    <cellStyle name="Обычный 124 2" xfId="1005"/>
    <cellStyle name="Обычный 124 2 2" xfId="1006"/>
    <cellStyle name="Обычный 124 3" xfId="1007"/>
    <cellStyle name="Обычный 124 4" xfId="1008"/>
    <cellStyle name="Обычный 125" xfId="1009"/>
    <cellStyle name="Обычный 125 2" xfId="1010"/>
    <cellStyle name="Обычный 125 2 2" xfId="1011"/>
    <cellStyle name="Обычный 125 3" xfId="1012"/>
    <cellStyle name="Обычный 125 4" xfId="1013"/>
    <cellStyle name="Обычный 126" xfId="1014"/>
    <cellStyle name="Обычный 126 2" xfId="1015"/>
    <cellStyle name="Обычный 126 2 2" xfId="1016"/>
    <cellStyle name="Обычный 126 3" xfId="1017"/>
    <cellStyle name="Обычный 126 4" xfId="1018"/>
    <cellStyle name="Обычный 127" xfId="1019"/>
    <cellStyle name="Обычный 127 2" xfId="1020"/>
    <cellStyle name="Обычный 127 2 2" xfId="1021"/>
    <cellStyle name="Обычный 127 3" xfId="1022"/>
    <cellStyle name="Обычный 127 4" xfId="1023"/>
    <cellStyle name="Обычный 128" xfId="1024"/>
    <cellStyle name="Обычный 128 2" xfId="1025"/>
    <cellStyle name="Обычный 128 2 2" xfId="1026"/>
    <cellStyle name="Обычный 128 3" xfId="1027"/>
    <cellStyle name="Обычный 128 4" xfId="1028"/>
    <cellStyle name="Обычный 129" xfId="1029"/>
    <cellStyle name="Обычный 129 2" xfId="1030"/>
    <cellStyle name="Обычный 129 2 2" xfId="1031"/>
    <cellStyle name="Обычный 129 3" xfId="1032"/>
    <cellStyle name="Обычный 129 4" xfId="1033"/>
    <cellStyle name="Обычный 13" xfId="1034"/>
    <cellStyle name="Обычный 13 2" xfId="1035"/>
    <cellStyle name="Обычный 13 2 2" xfId="1036"/>
    <cellStyle name="Обычный 13 3" xfId="1037"/>
    <cellStyle name="Обычный 13 4" xfId="1038"/>
    <cellStyle name="Обычный 13 5" xfId="1039"/>
    <cellStyle name="Обычный 13 6" xfId="1040"/>
    <cellStyle name="Обычный 130" xfId="1041"/>
    <cellStyle name="Обычный 130 2" xfId="1042"/>
    <cellStyle name="Обычный 130 2 2" xfId="1043"/>
    <cellStyle name="Обычный 130 3" xfId="1044"/>
    <cellStyle name="Обычный 130 4" xfId="1045"/>
    <cellStyle name="Обычный 131" xfId="1046"/>
    <cellStyle name="Обычный 131 2" xfId="1047"/>
    <cellStyle name="Обычный 131 2 2" xfId="1048"/>
    <cellStyle name="Обычный 131 3" xfId="1049"/>
    <cellStyle name="Обычный 131 4" xfId="1050"/>
    <cellStyle name="Обычный 132" xfId="1051"/>
    <cellStyle name="Обычный 132 2" xfId="1052"/>
    <cellStyle name="Обычный 132 2 2" xfId="1053"/>
    <cellStyle name="Обычный 132 3" xfId="1054"/>
    <cellStyle name="Обычный 132 4" xfId="1055"/>
    <cellStyle name="Обычный 133" xfId="1056"/>
    <cellStyle name="Обычный 133 2" xfId="1057"/>
    <cellStyle name="Обычный 133 2 2" xfId="1058"/>
    <cellStyle name="Обычный 133 3" xfId="1059"/>
    <cellStyle name="Обычный 133 4" xfId="1060"/>
    <cellStyle name="Обычный 134" xfId="1061"/>
    <cellStyle name="Обычный 134 2" xfId="1062"/>
    <cellStyle name="Обычный 134 2 2" xfId="1063"/>
    <cellStyle name="Обычный 134 3" xfId="1064"/>
    <cellStyle name="Обычный 134 4" xfId="1065"/>
    <cellStyle name="Обычный 135" xfId="1066"/>
    <cellStyle name="Обычный 135 2" xfId="1067"/>
    <cellStyle name="Обычный 135 2 2" xfId="1068"/>
    <cellStyle name="Обычный 135 3" xfId="1069"/>
    <cellStyle name="Обычный 135 4" xfId="1070"/>
    <cellStyle name="Обычный 136" xfId="1071"/>
    <cellStyle name="Обычный 136 2" xfId="1072"/>
    <cellStyle name="Обычный 136 2 2" xfId="1073"/>
    <cellStyle name="Обычный 136 3" xfId="1074"/>
    <cellStyle name="Обычный 136 4" xfId="1075"/>
    <cellStyle name="Обычный 137" xfId="1076"/>
    <cellStyle name="Обычный 137 2" xfId="1077"/>
    <cellStyle name="Обычный 137 2 2" xfId="1078"/>
    <cellStyle name="Обычный 137 3" xfId="1079"/>
    <cellStyle name="Обычный 137 4" xfId="1080"/>
    <cellStyle name="Обычный 138" xfId="1081"/>
    <cellStyle name="Обычный 138 2" xfId="1082"/>
    <cellStyle name="Обычный 138 2 2" xfId="1083"/>
    <cellStyle name="Обычный 138 3" xfId="1084"/>
    <cellStyle name="Обычный 138 4" xfId="1085"/>
    <cellStyle name="Обычный 139" xfId="1086"/>
    <cellStyle name="Обычный 139 2" xfId="1087"/>
    <cellStyle name="Обычный 139 2 2" xfId="1088"/>
    <cellStyle name="Обычный 139 3" xfId="1089"/>
    <cellStyle name="Обычный 139 4" xfId="1090"/>
    <cellStyle name="Обычный 14" xfId="1091"/>
    <cellStyle name="Обычный 14 2" xfId="1092"/>
    <cellStyle name="Обычный 14 2 2" xfId="1093"/>
    <cellStyle name="Обычный 14 2 3" xfId="1094"/>
    <cellStyle name="Обычный 14 3" xfId="1095"/>
    <cellStyle name="Обычный 14 4" xfId="1096"/>
    <cellStyle name="Обычный 14 5" xfId="1097"/>
    <cellStyle name="Обычный 14 6" xfId="1098"/>
    <cellStyle name="Обычный 14 7" xfId="1099"/>
    <cellStyle name="Обычный 140" xfId="1100"/>
    <cellStyle name="Обычный 140 2" xfId="1101"/>
    <cellStyle name="Обычный 140 2 2" xfId="1102"/>
    <cellStyle name="Обычный 140 3" xfId="1103"/>
    <cellStyle name="Обычный 140 4" xfId="1104"/>
    <cellStyle name="Обычный 141" xfId="1105"/>
    <cellStyle name="Обычный 141 2" xfId="1106"/>
    <cellStyle name="Обычный 141 2 2" xfId="1107"/>
    <cellStyle name="Обычный 141 3" xfId="1108"/>
    <cellStyle name="Обычный 141 4" xfId="1109"/>
    <cellStyle name="Обычный 142" xfId="1110"/>
    <cellStyle name="Обычный 142 2" xfId="1111"/>
    <cellStyle name="Обычный 142 2 2" xfId="1112"/>
    <cellStyle name="Обычный 142 3" xfId="1113"/>
    <cellStyle name="Обычный 142 4" xfId="1114"/>
    <cellStyle name="Обычный 143" xfId="1115"/>
    <cellStyle name="Обычный 143 2" xfId="1116"/>
    <cellStyle name="Обычный 143 2 2" xfId="1117"/>
    <cellStyle name="Обычный 143 3" xfId="1118"/>
    <cellStyle name="Обычный 143 4" xfId="1119"/>
    <cellStyle name="Обычный 144" xfId="1120"/>
    <cellStyle name="Обычный 144 2" xfId="1121"/>
    <cellStyle name="Обычный 144 2 2" xfId="1122"/>
    <cellStyle name="Обычный 144 3" xfId="1123"/>
    <cellStyle name="Обычный 144 4" xfId="1124"/>
    <cellStyle name="Обычный 145" xfId="1125"/>
    <cellStyle name="Обычный 145 2" xfId="1126"/>
    <cellStyle name="Обычный 145 2 2" xfId="1127"/>
    <cellStyle name="Обычный 145 3" xfId="1128"/>
    <cellStyle name="Обычный 145 4" xfId="1129"/>
    <cellStyle name="Обычный 146" xfId="1130"/>
    <cellStyle name="Обычный 146 2" xfId="1131"/>
    <cellStyle name="Обычный 146 2 2" xfId="1132"/>
    <cellStyle name="Обычный 146 3" xfId="1133"/>
    <cellStyle name="Обычный 146 4" xfId="1134"/>
    <cellStyle name="Обычный 147" xfId="1135"/>
    <cellStyle name="Обычный 147 2" xfId="1136"/>
    <cellStyle name="Обычный 147 2 2" xfId="1137"/>
    <cellStyle name="Обычный 147 3" xfId="1138"/>
    <cellStyle name="Обычный 147 4" xfId="1139"/>
    <cellStyle name="Обычный 148" xfId="1140"/>
    <cellStyle name="Обычный 148 2" xfId="1141"/>
    <cellStyle name="Обычный 148 2 2" xfId="1142"/>
    <cellStyle name="Обычный 148 3" xfId="1143"/>
    <cellStyle name="Обычный 148 4" xfId="1144"/>
    <cellStyle name="Обычный 149" xfId="1145"/>
    <cellStyle name="Обычный 149 2" xfId="1146"/>
    <cellStyle name="Обычный 149 2 2" xfId="1147"/>
    <cellStyle name="Обычный 149 3" xfId="1148"/>
    <cellStyle name="Обычный 149 4" xfId="1149"/>
    <cellStyle name="Обычный 15" xfId="1150"/>
    <cellStyle name="Обычный 15 2" xfId="1151"/>
    <cellStyle name="Обычный 15 2 2" xfId="1152"/>
    <cellStyle name="Обычный 15 3" xfId="1153"/>
    <cellStyle name="Обычный 15 4" xfId="1154"/>
    <cellStyle name="Обычный 150" xfId="1155"/>
    <cellStyle name="Обычный 150 2" xfId="1156"/>
    <cellStyle name="Обычный 150 2 2" xfId="1157"/>
    <cellStyle name="Обычный 150 3" xfId="1158"/>
    <cellStyle name="Обычный 150 4" xfId="1159"/>
    <cellStyle name="Обычный 151" xfId="1160"/>
    <cellStyle name="Обычный 151 2" xfId="1161"/>
    <cellStyle name="Обычный 151 2 2" xfId="1162"/>
    <cellStyle name="Обычный 151 3" xfId="1163"/>
    <cellStyle name="Обычный 151 4" xfId="1164"/>
    <cellStyle name="Обычный 152" xfId="1165"/>
    <cellStyle name="Обычный 152 2" xfId="1166"/>
    <cellStyle name="Обычный 152 2 2" xfId="1167"/>
    <cellStyle name="Обычный 152 3" xfId="1168"/>
    <cellStyle name="Обычный 152 4" xfId="1169"/>
    <cellStyle name="Обычный 153" xfId="1170"/>
    <cellStyle name="Обычный 153 2" xfId="1171"/>
    <cellStyle name="Обычный 153 2 2" xfId="1172"/>
    <cellStyle name="Обычный 153 3" xfId="1173"/>
    <cellStyle name="Обычный 153 4" xfId="1174"/>
    <cellStyle name="Обычный 154" xfId="1175"/>
    <cellStyle name="Обычный 154 2" xfId="1176"/>
    <cellStyle name="Обычный 154 2 2" xfId="1177"/>
    <cellStyle name="Обычный 154 3" xfId="1178"/>
    <cellStyle name="Обычный 154 4" xfId="1179"/>
    <cellStyle name="Обычный 155" xfId="1180"/>
    <cellStyle name="Обычный 155 2" xfId="1181"/>
    <cellStyle name="Обычный 155 2 2" xfId="1182"/>
    <cellStyle name="Обычный 155 3" xfId="1183"/>
    <cellStyle name="Обычный 155 4" xfId="1184"/>
    <cellStyle name="Обычный 156" xfId="1185"/>
    <cellStyle name="Обычный 156 2" xfId="1186"/>
    <cellStyle name="Обычный 156 2 2" xfId="1187"/>
    <cellStyle name="Обычный 156 3" xfId="1188"/>
    <cellStyle name="Обычный 156 4" xfId="1189"/>
    <cellStyle name="Обычный 157" xfId="1190"/>
    <cellStyle name="Обычный 157 2" xfId="1191"/>
    <cellStyle name="Обычный 157 2 2" xfId="1192"/>
    <cellStyle name="Обычный 157 3" xfId="1193"/>
    <cellStyle name="Обычный 157 4" xfId="1194"/>
    <cellStyle name="Обычный 158" xfId="1195"/>
    <cellStyle name="Обычный 158 2" xfId="1196"/>
    <cellStyle name="Обычный 158 2 2" xfId="1197"/>
    <cellStyle name="Обычный 158 3" xfId="1198"/>
    <cellStyle name="Обычный 158 4" xfId="1199"/>
    <cellStyle name="Обычный 159" xfId="1200"/>
    <cellStyle name="Обычный 159 2" xfId="1201"/>
    <cellStyle name="Обычный 159 2 2" xfId="1202"/>
    <cellStyle name="Обычный 159 3" xfId="1203"/>
    <cellStyle name="Обычный 159 4" xfId="1204"/>
    <cellStyle name="Обычный 16" xfId="1205"/>
    <cellStyle name="Обычный 16 2" xfId="1206"/>
    <cellStyle name="Обычный 16 2 2" xfId="1207"/>
    <cellStyle name="Обычный 16 3" xfId="1208"/>
    <cellStyle name="Обычный 16 4" xfId="1209"/>
    <cellStyle name="Обычный 160" xfId="1210"/>
    <cellStyle name="Обычный 160 2" xfId="1211"/>
    <cellStyle name="Обычный 160 2 2" xfId="1212"/>
    <cellStyle name="Обычный 160 3" xfId="1213"/>
    <cellStyle name="Обычный 160 4" xfId="1214"/>
    <cellStyle name="Обычный 161" xfId="1215"/>
    <cellStyle name="Обычный 161 2" xfId="1216"/>
    <cellStyle name="Обычный 161 2 2" xfId="1217"/>
    <cellStyle name="Обычный 161 3" xfId="1218"/>
    <cellStyle name="Обычный 161 4" xfId="1219"/>
    <cellStyle name="Обычный 162" xfId="1220"/>
    <cellStyle name="Обычный 162 2" xfId="1221"/>
    <cellStyle name="Обычный 162 2 2" xfId="1222"/>
    <cellStyle name="Обычный 162 3" xfId="1223"/>
    <cellStyle name="Обычный 162 4" xfId="1224"/>
    <cellStyle name="Обычный 163" xfId="1225"/>
    <cellStyle name="Обычный 163 2" xfId="1226"/>
    <cellStyle name="Обычный 163 2 2" xfId="1227"/>
    <cellStyle name="Обычный 163 3" xfId="1228"/>
    <cellStyle name="Обычный 163 4" xfId="1229"/>
    <cellStyle name="Обычный 164" xfId="1230"/>
    <cellStyle name="Обычный 164 2" xfId="1231"/>
    <cellStyle name="Обычный 164 2 2" xfId="1232"/>
    <cellStyle name="Обычный 164 3" xfId="1233"/>
    <cellStyle name="Обычный 164 4" xfId="1234"/>
    <cellStyle name="Обычный 165" xfId="1235"/>
    <cellStyle name="Обычный 165 2" xfId="1236"/>
    <cellStyle name="Обычный 165 2 2" xfId="1237"/>
    <cellStyle name="Обычный 165 3" xfId="1238"/>
    <cellStyle name="Обычный 165 4" xfId="1239"/>
    <cellStyle name="Обычный 166" xfId="1240"/>
    <cellStyle name="Обычный 166 2" xfId="1241"/>
    <cellStyle name="Обычный 166 2 2" xfId="1242"/>
    <cellStyle name="Обычный 166 3" xfId="1243"/>
    <cellStyle name="Обычный 166 4" xfId="1244"/>
    <cellStyle name="Обычный 167" xfId="1245"/>
    <cellStyle name="Обычный 167 2" xfId="1246"/>
    <cellStyle name="Обычный 167 2 2" xfId="1247"/>
    <cellStyle name="Обычный 167 3" xfId="1248"/>
    <cellStyle name="Обычный 167 4" xfId="1249"/>
    <cellStyle name="Обычный 168" xfId="1250"/>
    <cellStyle name="Обычный 168 2" xfId="1251"/>
    <cellStyle name="Обычный 168 2 2" xfId="1252"/>
    <cellStyle name="Обычный 168 3" xfId="1253"/>
    <cellStyle name="Обычный 168 4" xfId="1254"/>
    <cellStyle name="Обычный 169" xfId="1255"/>
    <cellStyle name="Обычный 169 2" xfId="1256"/>
    <cellStyle name="Обычный 169 2 2" xfId="1257"/>
    <cellStyle name="Обычный 169 3" xfId="1258"/>
    <cellStyle name="Обычный 169 4" xfId="1259"/>
    <cellStyle name="Обычный 17" xfId="1260"/>
    <cellStyle name="Обычный 17 2" xfId="1261"/>
    <cellStyle name="Обычный 17 2 2" xfId="1262"/>
    <cellStyle name="Обычный 17 3" xfId="1263"/>
    <cellStyle name="Обычный 17 4" xfId="1264"/>
    <cellStyle name="Обычный 170" xfId="1265"/>
    <cellStyle name="Обычный 170 2" xfId="1266"/>
    <cellStyle name="Обычный 170 2 2" xfId="1267"/>
    <cellStyle name="Обычный 170 3" xfId="1268"/>
    <cellStyle name="Обычный 170 4" xfId="1269"/>
    <cellStyle name="Обычный 171" xfId="1270"/>
    <cellStyle name="Обычный 171 2" xfId="1271"/>
    <cellStyle name="Обычный 171 2 2" xfId="1272"/>
    <cellStyle name="Обычный 171 3" xfId="1273"/>
    <cellStyle name="Обычный 171 4" xfId="1274"/>
    <cellStyle name="Обычный 172" xfId="1275"/>
    <cellStyle name="Обычный 172 2" xfId="1276"/>
    <cellStyle name="Обычный 172 2 2" xfId="1277"/>
    <cellStyle name="Обычный 172 3" xfId="1278"/>
    <cellStyle name="Обычный 172 4" xfId="1279"/>
    <cellStyle name="Обычный 173" xfId="1280"/>
    <cellStyle name="Обычный 173 2" xfId="1281"/>
    <cellStyle name="Обычный 173 2 2" xfId="1282"/>
    <cellStyle name="Обычный 173 3" xfId="1283"/>
    <cellStyle name="Обычный 173 4" xfId="1284"/>
    <cellStyle name="Обычный 174" xfId="1285"/>
    <cellStyle name="Обычный 174 2" xfId="1286"/>
    <cellStyle name="Обычный 174 2 2" xfId="1287"/>
    <cellStyle name="Обычный 174 3" xfId="1288"/>
    <cellStyle name="Обычный 174 4" xfId="1289"/>
    <cellStyle name="Обычный 175" xfId="1290"/>
    <cellStyle name="Обычный 175 2" xfId="1291"/>
    <cellStyle name="Обычный 175 2 2" xfId="1292"/>
    <cellStyle name="Обычный 175 3" xfId="1293"/>
    <cellStyle name="Обычный 175 4" xfId="1294"/>
    <cellStyle name="Обычный 176" xfId="1295"/>
    <cellStyle name="Обычный 176 2" xfId="1296"/>
    <cellStyle name="Обычный 176 2 2" xfId="1297"/>
    <cellStyle name="Обычный 176 3" xfId="1298"/>
    <cellStyle name="Обычный 176 4" xfId="1299"/>
    <cellStyle name="Обычный 177" xfId="1300"/>
    <cellStyle name="Обычный 177 2" xfId="1301"/>
    <cellStyle name="Обычный 177 2 2" xfId="1302"/>
    <cellStyle name="Обычный 177 3" xfId="1303"/>
    <cellStyle name="Обычный 177 4" xfId="1304"/>
    <cellStyle name="Обычный 178" xfId="1305"/>
    <cellStyle name="Обычный 178 2" xfId="1306"/>
    <cellStyle name="Обычный 178 2 2" xfId="1307"/>
    <cellStyle name="Обычный 178 3" xfId="1308"/>
    <cellStyle name="Обычный 178 4" xfId="1309"/>
    <cellStyle name="Обычный 179" xfId="1310"/>
    <cellStyle name="Обычный 179 2" xfId="1311"/>
    <cellStyle name="Обычный 179 2 2" xfId="1312"/>
    <cellStyle name="Обычный 179 3" xfId="1313"/>
    <cellStyle name="Обычный 179 4" xfId="1314"/>
    <cellStyle name="Обычный 18" xfId="1315"/>
    <cellStyle name="Обычный 18 2" xfId="1316"/>
    <cellStyle name="Обычный 18 2 2" xfId="1317"/>
    <cellStyle name="Обычный 18 3" xfId="1318"/>
    <cellStyle name="Обычный 18 4" xfId="1319"/>
    <cellStyle name="Обычный 180" xfId="1320"/>
    <cellStyle name="Обычный 180 2" xfId="1321"/>
    <cellStyle name="Обычный 180 2 2" xfId="1322"/>
    <cellStyle name="Обычный 180 3" xfId="1323"/>
    <cellStyle name="Обычный 180 4" xfId="1324"/>
    <cellStyle name="Обычный 181" xfId="1325"/>
    <cellStyle name="Обычный 181 2" xfId="1326"/>
    <cellStyle name="Обычный 181 2 2" xfId="1327"/>
    <cellStyle name="Обычный 181 3" xfId="1328"/>
    <cellStyle name="Обычный 181 4" xfId="1329"/>
    <cellStyle name="Обычный 182" xfId="1330"/>
    <cellStyle name="Обычный 182 2" xfId="1331"/>
    <cellStyle name="Обычный 182 2 2" xfId="1332"/>
    <cellStyle name="Обычный 182 3" xfId="1333"/>
    <cellStyle name="Обычный 182 4" xfId="1334"/>
    <cellStyle name="Обычный 183" xfId="1335"/>
    <cellStyle name="Обычный 183 2" xfId="1336"/>
    <cellStyle name="Обычный 183 2 2" xfId="1337"/>
    <cellStyle name="Обычный 183 3" xfId="1338"/>
    <cellStyle name="Обычный 183 4" xfId="1339"/>
    <cellStyle name="Обычный 184" xfId="1340"/>
    <cellStyle name="Обычный 184 2" xfId="1341"/>
    <cellStyle name="Обычный 184 2 2" xfId="1342"/>
    <cellStyle name="Обычный 184 3" xfId="1343"/>
    <cellStyle name="Обычный 184 4" xfId="1344"/>
    <cellStyle name="Обычный 185" xfId="1345"/>
    <cellStyle name="Обычный 185 2" xfId="1346"/>
    <cellStyle name="Обычный 185 2 2" xfId="1347"/>
    <cellStyle name="Обычный 185 3" xfId="1348"/>
    <cellStyle name="Обычный 185 4" xfId="1349"/>
    <cellStyle name="Обычный 186" xfId="1350"/>
    <cellStyle name="Обычный 186 2" xfId="1351"/>
    <cellStyle name="Обычный 186 2 2" xfId="1352"/>
    <cellStyle name="Обычный 186 3" xfId="1353"/>
    <cellStyle name="Обычный 186 4" xfId="1354"/>
    <cellStyle name="Обычный 187" xfId="1355"/>
    <cellStyle name="Обычный 187 2" xfId="1356"/>
    <cellStyle name="Обычный 187 2 2" xfId="1357"/>
    <cellStyle name="Обычный 187 3" xfId="1358"/>
    <cellStyle name="Обычный 187 4" xfId="1359"/>
    <cellStyle name="Обычный 188" xfId="1360"/>
    <cellStyle name="Обычный 188 2" xfId="1361"/>
    <cellStyle name="Обычный 188 2 2" xfId="1362"/>
    <cellStyle name="Обычный 188 3" xfId="1363"/>
    <cellStyle name="Обычный 188 4" xfId="1364"/>
    <cellStyle name="Обычный 189" xfId="1365"/>
    <cellStyle name="Обычный 189 2" xfId="1366"/>
    <cellStyle name="Обычный 189 2 2" xfId="1367"/>
    <cellStyle name="Обычный 189 3" xfId="1368"/>
    <cellStyle name="Обычный 189 4" xfId="1369"/>
    <cellStyle name="Обычный 19" xfId="1370"/>
    <cellStyle name="Обычный 19 2" xfId="1371"/>
    <cellStyle name="Обычный 19 2 2" xfId="1372"/>
    <cellStyle name="Обычный 19 3" xfId="1373"/>
    <cellStyle name="Обычный 19 4" xfId="1374"/>
    <cellStyle name="Обычный 190" xfId="1375"/>
    <cellStyle name="Обычный 190 2" xfId="1376"/>
    <cellStyle name="Обычный 190 2 2" xfId="1377"/>
    <cellStyle name="Обычный 190 3" xfId="1378"/>
    <cellStyle name="Обычный 190 4" xfId="1379"/>
    <cellStyle name="Обычный 191" xfId="1380"/>
    <cellStyle name="Обычный 191 2" xfId="1381"/>
    <cellStyle name="Обычный 191 2 2" xfId="1382"/>
    <cellStyle name="Обычный 191 3" xfId="1383"/>
    <cellStyle name="Обычный 191 4" xfId="1384"/>
    <cellStyle name="Обычный 192" xfId="1385"/>
    <cellStyle name="Обычный 192 2" xfId="1386"/>
    <cellStyle name="Обычный 192 2 2" xfId="1387"/>
    <cellStyle name="Обычный 192 3" xfId="1388"/>
    <cellStyle name="Обычный 192 4" xfId="1389"/>
    <cellStyle name="Обычный 193" xfId="1390"/>
    <cellStyle name="Обычный 193 2" xfId="1391"/>
    <cellStyle name="Обычный 193 2 2" xfId="1392"/>
    <cellStyle name="Обычный 193 3" xfId="1393"/>
    <cellStyle name="Обычный 193 4" xfId="1394"/>
    <cellStyle name="Обычный 194" xfId="1395"/>
    <cellStyle name="Обычный 194 2" xfId="1396"/>
    <cellStyle name="Обычный 194 2 2" xfId="1397"/>
    <cellStyle name="Обычный 194 3" xfId="1398"/>
    <cellStyle name="Обычный 194 4" xfId="1399"/>
    <cellStyle name="Обычный 195" xfId="1400"/>
    <cellStyle name="Обычный 195 2" xfId="1401"/>
    <cellStyle name="Обычный 195 2 2" xfId="1402"/>
    <cellStyle name="Обычный 195 3" xfId="1403"/>
    <cellStyle name="Обычный 195 4" xfId="1404"/>
    <cellStyle name="Обычный 196" xfId="1405"/>
    <cellStyle name="Обычный 196 2" xfId="1406"/>
    <cellStyle name="Обычный 196 2 2" xfId="1407"/>
    <cellStyle name="Обычный 196 3" xfId="1408"/>
    <cellStyle name="Обычный 196 4" xfId="1409"/>
    <cellStyle name="Обычный 197" xfId="1410"/>
    <cellStyle name="Обычный 197 2" xfId="1411"/>
    <cellStyle name="Обычный 197 2 2" xfId="1412"/>
    <cellStyle name="Обычный 197 3" xfId="1413"/>
    <cellStyle name="Обычный 197 4" xfId="1414"/>
    <cellStyle name="Обычный 198" xfId="1415"/>
    <cellStyle name="Обычный 198 2" xfId="1416"/>
    <cellStyle name="Обычный 198 2 2" xfId="1417"/>
    <cellStyle name="Обычный 198 3" xfId="1418"/>
    <cellStyle name="Обычный 198 4" xfId="1419"/>
    <cellStyle name="Обычный 199" xfId="1420"/>
    <cellStyle name="Обычный 199 2" xfId="1421"/>
    <cellStyle name="Обычный 199 2 2" xfId="1422"/>
    <cellStyle name="Обычный 199 3" xfId="1423"/>
    <cellStyle name="Обычный 199 4" xfId="1424"/>
    <cellStyle name="Обычный 2" xfId="1425"/>
    <cellStyle name="Обычный 2 10" xfId="1426"/>
    <cellStyle name="Обычный 2 10 2" xfId="1427"/>
    <cellStyle name="Обычный 2 11" xfId="1428"/>
    <cellStyle name="Обычный 2 12" xfId="1429"/>
    <cellStyle name="Обычный 2 13" xfId="1430"/>
    <cellStyle name="Обычный 2 2" xfId="1431"/>
    <cellStyle name="Обычный 2 2 2" xfId="1432"/>
    <cellStyle name="Обычный 2 2 2 2" xfId="1433"/>
    <cellStyle name="Обычный 2 2 2 3" xfId="1434"/>
    <cellStyle name="Обычный 2 2 2 4" xfId="1435"/>
    <cellStyle name="Обычный 2 2 2 5" xfId="1436"/>
    <cellStyle name="Обычный 2 2 3" xfId="1437"/>
    <cellStyle name="Обычный 2 2 3 2" xfId="1438"/>
    <cellStyle name="Обычный 2 2 3 3" xfId="1439"/>
    <cellStyle name="Обычный 2 2 4" xfId="1440"/>
    <cellStyle name="Обычный 2 2 5" xfId="1441"/>
    <cellStyle name="Обычный 2 3" xfId="1442"/>
    <cellStyle name="Обычный 2 3 2" xfId="1443"/>
    <cellStyle name="Обычный 2 3 2 2" xfId="1444"/>
    <cellStyle name="Обычный 2 3 2 2 2" xfId="1445"/>
    <cellStyle name="Обычный 2 3 2 2 2 2" xfId="1446"/>
    <cellStyle name="Обычный 2 3 2 2 2 2 2" xfId="1447"/>
    <cellStyle name="Обычный 2 3 2 2 2 3" xfId="1448"/>
    <cellStyle name="Обычный 2 3 2 2 3" xfId="1449"/>
    <cellStyle name="Обычный 2 3 2 2 3 2" xfId="1450"/>
    <cellStyle name="Обычный 2 3 2 2 4" xfId="1451"/>
    <cellStyle name="Обычный 2 3 2 3" xfId="1452"/>
    <cellStyle name="Обычный 2 3 2 3 2" xfId="1453"/>
    <cellStyle name="Обычный 2 3 2 3 2 2" xfId="1454"/>
    <cellStyle name="Обычный 2 3 2 3 3" xfId="1455"/>
    <cellStyle name="Обычный 2 3 2 4" xfId="1456"/>
    <cellStyle name="Обычный 2 3 2 4 2" xfId="1457"/>
    <cellStyle name="Обычный 2 3 2 5" xfId="1458"/>
    <cellStyle name="Обычный 2 3 2 6" xfId="1459"/>
    <cellStyle name="Обычный 2 3 2 7" xfId="1460"/>
    <cellStyle name="Обычный 2 3 3" xfId="1461"/>
    <cellStyle name="Обычный 2 3 3 2" xfId="1462"/>
    <cellStyle name="Обычный 2 3 3 2 2" xfId="1463"/>
    <cellStyle name="Обычный 2 3 3 2 2 2" xfId="1464"/>
    <cellStyle name="Обычный 2 3 3 2 3" xfId="1465"/>
    <cellStyle name="Обычный 2 3 3 3" xfId="1466"/>
    <cellStyle name="Обычный 2 3 3 3 2" xfId="1467"/>
    <cellStyle name="Обычный 2 3 3 4" xfId="1468"/>
    <cellStyle name="Обычный 2 3 3 5" xfId="1469"/>
    <cellStyle name="Обычный 2 3 4" xfId="1470"/>
    <cellStyle name="Обычный 2 3 4 2" xfId="1471"/>
    <cellStyle name="Обычный 2 3 4 2 2" xfId="1472"/>
    <cellStyle name="Обычный 2 3 4 3" xfId="1473"/>
    <cellStyle name="Обычный 2 3 5" xfId="1474"/>
    <cellStyle name="Обычный 2 3 5 2" xfId="1475"/>
    <cellStyle name="Обычный 2 3 6" xfId="1476"/>
    <cellStyle name="Обычный 2 3 7" xfId="1477"/>
    <cellStyle name="Обычный 2 4" xfId="1478"/>
    <cellStyle name="Обычный 2 4 2" xfId="1479"/>
    <cellStyle name="Обычный 2 4 2 2" xfId="1480"/>
    <cellStyle name="Обычный 2 4 2 2 2" xfId="1481"/>
    <cellStyle name="Обычный 2 4 2 2 2 2" xfId="1482"/>
    <cellStyle name="Обычный 2 4 2 2 3" xfId="1483"/>
    <cellStyle name="Обычный 2 4 2 3" xfId="1484"/>
    <cellStyle name="Обычный 2 4 2 3 2" xfId="1485"/>
    <cellStyle name="Обычный 2 4 2 4" xfId="1486"/>
    <cellStyle name="Обычный 2 4 3" xfId="1487"/>
    <cellStyle name="Обычный 2 4 3 2" xfId="1488"/>
    <cellStyle name="Обычный 2 4 3 2 2" xfId="1489"/>
    <cellStyle name="Обычный 2 4 3 3" xfId="1490"/>
    <cellStyle name="Обычный 2 4 4" xfId="1491"/>
    <cellStyle name="Обычный 2 4 4 2" xfId="1492"/>
    <cellStyle name="Обычный 2 4 5" xfId="1493"/>
    <cellStyle name="Обычный 2 4 6" xfId="1494"/>
    <cellStyle name="Обычный 2 5" xfId="1495"/>
    <cellStyle name="Обычный 2 5 2" xfId="1496"/>
    <cellStyle name="Обычный 2 5 2 2" xfId="1497"/>
    <cellStyle name="Обычный 2 5 2 2 2" xfId="1498"/>
    <cellStyle name="Обычный 2 5 2 3" xfId="1499"/>
    <cellStyle name="Обычный 2 5 2 4" xfId="1500"/>
    <cellStyle name="Обычный 2 5 3" xfId="1501"/>
    <cellStyle name="Обычный 2 5 3 2" xfId="1502"/>
    <cellStyle name="Обычный 2 5 3 3" xfId="1503"/>
    <cellStyle name="Обычный 2 5 4" xfId="1504"/>
    <cellStyle name="Обычный 2 5 5" xfId="1505"/>
    <cellStyle name="Обычный 2 6" xfId="1506"/>
    <cellStyle name="Обычный 2 6 2" xfId="1507"/>
    <cellStyle name="Обычный 2 6 2 2" xfId="1508"/>
    <cellStyle name="Обычный 2 6 2 2 2" xfId="1509"/>
    <cellStyle name="Обычный 2 6 2 3" xfId="1510"/>
    <cellStyle name="Обычный 2 6 2 4" xfId="1511"/>
    <cellStyle name="Обычный 2 6 3" xfId="1512"/>
    <cellStyle name="Обычный 2 6 3 2" xfId="1513"/>
    <cellStyle name="Обычный 2 6 4" xfId="1514"/>
    <cellStyle name="Обычный 2 7" xfId="1515"/>
    <cellStyle name="Обычный 2 7 2" xfId="1516"/>
    <cellStyle name="Обычный 2 7 2 2" xfId="1517"/>
    <cellStyle name="Обычный 2 7 2 2 2" xfId="1518"/>
    <cellStyle name="Обычный 2 7 2 3" xfId="1519"/>
    <cellStyle name="Обычный 2 7 3" xfId="1520"/>
    <cellStyle name="Обычный 2 7 3 2" xfId="1521"/>
    <cellStyle name="Обычный 2 7 4" xfId="1522"/>
    <cellStyle name="Обычный 2 8" xfId="1523"/>
    <cellStyle name="Обычный 2 8 2" xfId="1524"/>
    <cellStyle name="Обычный 2 8 2 2" xfId="1525"/>
    <cellStyle name="Обычный 2 8 3" xfId="1526"/>
    <cellStyle name="Обычный 2 9" xfId="1527"/>
    <cellStyle name="Обычный 2 9 2" xfId="1528"/>
    <cellStyle name="Обычный 2 9 2 2" xfId="1529"/>
    <cellStyle name="Обычный 2 9 3" xfId="1530"/>
    <cellStyle name="Обычный 20" xfId="1531"/>
    <cellStyle name="Обычный 20 2" xfId="1532"/>
    <cellStyle name="Обычный 20 2 2" xfId="1533"/>
    <cellStyle name="Обычный 20 3" xfId="1534"/>
    <cellStyle name="Обычный 20 4" xfId="1535"/>
    <cellStyle name="Обычный 200" xfId="1536"/>
    <cellStyle name="Обычный 200 2" xfId="1537"/>
    <cellStyle name="Обычный 200 2 2" xfId="1538"/>
    <cellStyle name="Обычный 200 3" xfId="1539"/>
    <cellStyle name="Обычный 200 4" xfId="1540"/>
    <cellStyle name="Обычный 201" xfId="1541"/>
    <cellStyle name="Обычный 201 2" xfId="1542"/>
    <cellStyle name="Обычный 201 2 2" xfId="1543"/>
    <cellStyle name="Обычный 201 3" xfId="1544"/>
    <cellStyle name="Обычный 201 4" xfId="1545"/>
    <cellStyle name="Обычный 202" xfId="1546"/>
    <cellStyle name="Обычный 202 2" xfId="1547"/>
    <cellStyle name="Обычный 202 2 2" xfId="1548"/>
    <cellStyle name="Обычный 202 3" xfId="1549"/>
    <cellStyle name="Обычный 202 4" xfId="1550"/>
    <cellStyle name="Обычный 203" xfId="1551"/>
    <cellStyle name="Обычный 203 2" xfId="1552"/>
    <cellStyle name="Обычный 203 2 2" xfId="1553"/>
    <cellStyle name="Обычный 203 3" xfId="1554"/>
    <cellStyle name="Обычный 203 4" xfId="1555"/>
    <cellStyle name="Обычный 204" xfId="1556"/>
    <cellStyle name="Обычный 204 2" xfId="1557"/>
    <cellStyle name="Обычный 204 2 2" xfId="1558"/>
    <cellStyle name="Обычный 204 3" xfId="1559"/>
    <cellStyle name="Обычный 204 4" xfId="1560"/>
    <cellStyle name="Обычный 205" xfId="1561"/>
    <cellStyle name="Обычный 205 2" xfId="1562"/>
    <cellStyle name="Обычный 205 2 2" xfId="1563"/>
    <cellStyle name="Обычный 205 3" xfId="1564"/>
    <cellStyle name="Обычный 205 4" xfId="1565"/>
    <cellStyle name="Обычный 206" xfId="1566"/>
    <cellStyle name="Обычный 207" xfId="1567"/>
    <cellStyle name="Обычный 207 2" xfId="1568"/>
    <cellStyle name="Обычный 207 2 2" xfId="1569"/>
    <cellStyle name="Обычный 207 3" xfId="1570"/>
    <cellStyle name="Обычный 207 4" xfId="1571"/>
    <cellStyle name="Обычный 208" xfId="1572"/>
    <cellStyle name="Обычный 208 2" xfId="1573"/>
    <cellStyle name="Обычный 208 2 2" xfId="1574"/>
    <cellStyle name="Обычный 208 3" xfId="1575"/>
    <cellStyle name="Обычный 208 4" xfId="1576"/>
    <cellStyle name="Обычный 209" xfId="1577"/>
    <cellStyle name="Обычный 209 2" xfId="1578"/>
    <cellStyle name="Обычный 209 2 2" xfId="1579"/>
    <cellStyle name="Обычный 209 3" xfId="1580"/>
    <cellStyle name="Обычный 209 4" xfId="1581"/>
    <cellStyle name="Обычный 21" xfId="1582"/>
    <cellStyle name="Обычный 21 2" xfId="1583"/>
    <cellStyle name="Обычный 21 2 2" xfId="1584"/>
    <cellStyle name="Обычный 21 3" xfId="1585"/>
    <cellStyle name="Обычный 21 4" xfId="1586"/>
    <cellStyle name="Обычный 210" xfId="1587"/>
    <cellStyle name="Обычный 210 2" xfId="1588"/>
    <cellStyle name="Обычный 210 2 2" xfId="1589"/>
    <cellStyle name="Обычный 210 3" xfId="1590"/>
    <cellStyle name="Обычный 210 4" xfId="1591"/>
    <cellStyle name="Обычный 211" xfId="1592"/>
    <cellStyle name="Обычный 211 2" xfId="1593"/>
    <cellStyle name="Обычный 211 2 2" xfId="1594"/>
    <cellStyle name="Обычный 211 3" xfId="1595"/>
    <cellStyle name="Обычный 211 4" xfId="1596"/>
    <cellStyle name="Обычный 212" xfId="1597"/>
    <cellStyle name="Обычный 212 2" xfId="1598"/>
    <cellStyle name="Обычный 212 2 2" xfId="1599"/>
    <cellStyle name="Обычный 212 3" xfId="1600"/>
    <cellStyle name="Обычный 212 4" xfId="1601"/>
    <cellStyle name="Обычный 213" xfId="1602"/>
    <cellStyle name="Обычный 213 2" xfId="1603"/>
    <cellStyle name="Обычный 213 2 2" xfId="1604"/>
    <cellStyle name="Обычный 213 3" xfId="1605"/>
    <cellStyle name="Обычный 213 4" xfId="1606"/>
    <cellStyle name="Обычный 214" xfId="1607"/>
    <cellStyle name="Обычный 214 2" xfId="1608"/>
    <cellStyle name="Обычный 214 2 2" xfId="1609"/>
    <cellStyle name="Обычный 214 3" xfId="1610"/>
    <cellStyle name="Обычный 214 4" xfId="1611"/>
    <cellStyle name="Обычный 215" xfId="1612"/>
    <cellStyle name="Обычный 215 2" xfId="1613"/>
    <cellStyle name="Обычный 215 2 2" xfId="1614"/>
    <cellStyle name="Обычный 215 3" xfId="1615"/>
    <cellStyle name="Обычный 215 4" xfId="1616"/>
    <cellStyle name="Обычный 216" xfId="1617"/>
    <cellStyle name="Обычный 216 2" xfId="1618"/>
    <cellStyle name="Обычный 216 2 2" xfId="1619"/>
    <cellStyle name="Обычный 216 3" xfId="1620"/>
    <cellStyle name="Обычный 216 4" xfId="1621"/>
    <cellStyle name="Обычный 217" xfId="1622"/>
    <cellStyle name="Обычный 217 2" xfId="1623"/>
    <cellStyle name="Обычный 217 2 2" xfId="1624"/>
    <cellStyle name="Обычный 217 3" xfId="1625"/>
    <cellStyle name="Обычный 217 4" xfId="1626"/>
    <cellStyle name="Обычный 218" xfId="1627"/>
    <cellStyle name="Обычный 218 2" xfId="1628"/>
    <cellStyle name="Обычный 218 2 2" xfId="1629"/>
    <cellStyle name="Обычный 218 3" xfId="1630"/>
    <cellStyle name="Обычный 218 4" xfId="1631"/>
    <cellStyle name="Обычный 219" xfId="1632"/>
    <cellStyle name="Обычный 219 2" xfId="1633"/>
    <cellStyle name="Обычный 219 2 2" xfId="1634"/>
    <cellStyle name="Обычный 219 3" xfId="1635"/>
    <cellStyle name="Обычный 219 4" xfId="1636"/>
    <cellStyle name="Обычный 22" xfId="1637"/>
    <cellStyle name="Обычный 22 2" xfId="1638"/>
    <cellStyle name="Обычный 22 2 2" xfId="1639"/>
    <cellStyle name="Обычный 22 3" xfId="1640"/>
    <cellStyle name="Обычный 22 4" xfId="1641"/>
    <cellStyle name="Обычный 22 5" xfId="1642"/>
    <cellStyle name="Обычный 220" xfId="1643"/>
    <cellStyle name="Обычный 220 2" xfId="1644"/>
    <cellStyle name="Обычный 220 2 2" xfId="1645"/>
    <cellStyle name="Обычный 220 3" xfId="1646"/>
    <cellStyle name="Обычный 220 4" xfId="1647"/>
    <cellStyle name="Обычный 221" xfId="1648"/>
    <cellStyle name="Обычный 221 2" xfId="1649"/>
    <cellStyle name="Обычный 221 2 2" xfId="1650"/>
    <cellStyle name="Обычный 221 3" xfId="1651"/>
    <cellStyle name="Обычный 221 4" xfId="1652"/>
    <cellStyle name="Обычный 222" xfId="1653"/>
    <cellStyle name="Обычный 222 2" xfId="1654"/>
    <cellStyle name="Обычный 222 2 2" xfId="1655"/>
    <cellStyle name="Обычный 222 3" xfId="1656"/>
    <cellStyle name="Обычный 222 4" xfId="1657"/>
    <cellStyle name="Обычный 223" xfId="1658"/>
    <cellStyle name="Обычный 223 2" xfId="1659"/>
    <cellStyle name="Обычный 223 2 2" xfId="1660"/>
    <cellStyle name="Обычный 223 3" xfId="1661"/>
    <cellStyle name="Обычный 223 4" xfId="1662"/>
    <cellStyle name="Обычный 224" xfId="1663"/>
    <cellStyle name="Обычный 224 2" xfId="1664"/>
    <cellStyle name="Обычный 224 2 2" xfId="1665"/>
    <cellStyle name="Обычный 224 3" xfId="1666"/>
    <cellStyle name="Обычный 224 4" xfId="1667"/>
    <cellStyle name="Обычный 225" xfId="1668"/>
    <cellStyle name="Обычный 225 2" xfId="1669"/>
    <cellStyle name="Обычный 225 2 2" xfId="1670"/>
    <cellStyle name="Обычный 225 3" xfId="1671"/>
    <cellStyle name="Обычный 225 4" xfId="1672"/>
    <cellStyle name="Обычный 226" xfId="1673"/>
    <cellStyle name="Обычный 226 2" xfId="1674"/>
    <cellStyle name="Обычный 226 2 2" xfId="1675"/>
    <cellStyle name="Обычный 226 3" xfId="1676"/>
    <cellStyle name="Обычный 226 4" xfId="1677"/>
    <cellStyle name="Обычный 227" xfId="1678"/>
    <cellStyle name="Обычный 227 2" xfId="1679"/>
    <cellStyle name="Обычный 227 2 2" xfId="1680"/>
    <cellStyle name="Обычный 227 3" xfId="1681"/>
    <cellStyle name="Обычный 227 4" xfId="1682"/>
    <cellStyle name="Обычный 228" xfId="1683"/>
    <cellStyle name="Обычный 228 2" xfId="1684"/>
    <cellStyle name="Обычный 228 2 2" xfId="1685"/>
    <cellStyle name="Обычный 228 3" xfId="1686"/>
    <cellStyle name="Обычный 228 4" xfId="1687"/>
    <cellStyle name="Обычный 229" xfId="1688"/>
    <cellStyle name="Обычный 229 2" xfId="1689"/>
    <cellStyle name="Обычный 229 2 2" xfId="1690"/>
    <cellStyle name="Обычный 229 3" xfId="1691"/>
    <cellStyle name="Обычный 229 4" xfId="1692"/>
    <cellStyle name="Обычный 23" xfId="1693"/>
    <cellStyle name="Обычный 23 2" xfId="1694"/>
    <cellStyle name="Обычный 23 2 2" xfId="1695"/>
    <cellStyle name="Обычный 23 3" xfId="1696"/>
    <cellStyle name="Обычный 23 4" xfId="1697"/>
    <cellStyle name="Обычный 230" xfId="1698"/>
    <cellStyle name="Обычный 230 2" xfId="1699"/>
    <cellStyle name="Обычный 230 2 2" xfId="1700"/>
    <cellStyle name="Обычный 230 3" xfId="1701"/>
    <cellStyle name="Обычный 230 4" xfId="1702"/>
    <cellStyle name="Обычный 231" xfId="1703"/>
    <cellStyle name="Обычный 231 2" xfId="1704"/>
    <cellStyle name="Обычный 231 2 2" xfId="1705"/>
    <cellStyle name="Обычный 231 3" xfId="1706"/>
    <cellStyle name="Обычный 231 4" xfId="1707"/>
    <cellStyle name="Обычный 232" xfId="1708"/>
    <cellStyle name="Обычный 232 2" xfId="1709"/>
    <cellStyle name="Обычный 232 2 2" xfId="1710"/>
    <cellStyle name="Обычный 232 3" xfId="1711"/>
    <cellStyle name="Обычный 232 4" xfId="1712"/>
    <cellStyle name="Обычный 233" xfId="1713"/>
    <cellStyle name="Обычный 233 2" xfId="1714"/>
    <cellStyle name="Обычный 233 2 2" xfId="1715"/>
    <cellStyle name="Обычный 233 3" xfId="1716"/>
    <cellStyle name="Обычный 233 4" xfId="1717"/>
    <cellStyle name="Обычный 234" xfId="1718"/>
    <cellStyle name="Обычный 234 2" xfId="1719"/>
    <cellStyle name="Обычный 234 2 2" xfId="1720"/>
    <cellStyle name="Обычный 234 3" xfId="1721"/>
    <cellStyle name="Обычный 234 4" xfId="1722"/>
    <cellStyle name="Обычный 235" xfId="1723"/>
    <cellStyle name="Обычный 235 2" xfId="1724"/>
    <cellStyle name="Обычный 235 2 2" xfId="1725"/>
    <cellStyle name="Обычный 235 3" xfId="1726"/>
    <cellStyle name="Обычный 235 4" xfId="1727"/>
    <cellStyle name="Обычный 236" xfId="1728"/>
    <cellStyle name="Обычный 236 2" xfId="1729"/>
    <cellStyle name="Обычный 236 2 2" xfId="1730"/>
    <cellStyle name="Обычный 236 3" xfId="1731"/>
    <cellStyle name="Обычный 236 4" xfId="1732"/>
    <cellStyle name="Обычный 237" xfId="1733"/>
    <cellStyle name="Обычный 237 2" xfId="1734"/>
    <cellStyle name="Обычный 237 2 2" xfId="1735"/>
    <cellStyle name="Обычный 237 3" xfId="1736"/>
    <cellStyle name="Обычный 237 4" xfId="1737"/>
    <cellStyle name="Обычный 238" xfId="1738"/>
    <cellStyle name="Обычный 238 2" xfId="1739"/>
    <cellStyle name="Обычный 238 2 2" xfId="1740"/>
    <cellStyle name="Обычный 238 3" xfId="1741"/>
    <cellStyle name="Обычный 238 4" xfId="1742"/>
    <cellStyle name="Обычный 239" xfId="1743"/>
    <cellStyle name="Обычный 239 2" xfId="1744"/>
    <cellStyle name="Обычный 239 2 2" xfId="1745"/>
    <cellStyle name="Обычный 239 3" xfId="1746"/>
    <cellStyle name="Обычный 239 4" xfId="1747"/>
    <cellStyle name="Обычный 24" xfId="1748"/>
    <cellStyle name="Обычный 24 2" xfId="1749"/>
    <cellStyle name="Обычный 24 2 2" xfId="1750"/>
    <cellStyle name="Обычный 24 3" xfId="1751"/>
    <cellStyle name="Обычный 24 4" xfId="1752"/>
    <cellStyle name="Обычный 240" xfId="1753"/>
    <cellStyle name="Обычный 240 2" xfId="1754"/>
    <cellStyle name="Обычный 240 2 2" xfId="1755"/>
    <cellStyle name="Обычный 240 3" xfId="1756"/>
    <cellStyle name="Обычный 240 4" xfId="1757"/>
    <cellStyle name="Обычный 241" xfId="1758"/>
    <cellStyle name="Обычный 241 2" xfId="1759"/>
    <cellStyle name="Обычный 241 2 2" xfId="1760"/>
    <cellStyle name="Обычный 241 3" xfId="1761"/>
    <cellStyle name="Обычный 241 4" xfId="1762"/>
    <cellStyle name="Обычный 242" xfId="1763"/>
    <cellStyle name="Обычный 242 2" xfId="1764"/>
    <cellStyle name="Обычный 242 2 2" xfId="1765"/>
    <cellStyle name="Обычный 242 3" xfId="1766"/>
    <cellStyle name="Обычный 242 4" xfId="1767"/>
    <cellStyle name="Обычный 243" xfId="1768"/>
    <cellStyle name="Обычный 243 2" xfId="1769"/>
    <cellStyle name="Обычный 243 2 2" xfId="1770"/>
    <cellStyle name="Обычный 243 3" xfId="1771"/>
    <cellStyle name="Обычный 243 4" xfId="1772"/>
    <cellStyle name="Обычный 244" xfId="1773"/>
    <cellStyle name="Обычный 244 2" xfId="1774"/>
    <cellStyle name="Обычный 244 2 2" xfId="1775"/>
    <cellStyle name="Обычный 244 3" xfId="1776"/>
    <cellStyle name="Обычный 244 4" xfId="1777"/>
    <cellStyle name="Обычный 245" xfId="1778"/>
    <cellStyle name="Обычный 245 2" xfId="1779"/>
    <cellStyle name="Обычный 245 2 2" xfId="1780"/>
    <cellStyle name="Обычный 245 3" xfId="1781"/>
    <cellStyle name="Обычный 245 4" xfId="1782"/>
    <cellStyle name="Обычный 246" xfId="1783"/>
    <cellStyle name="Обычный 246 2" xfId="1784"/>
    <cellStyle name="Обычный 246 2 2" xfId="1785"/>
    <cellStyle name="Обычный 246 3" xfId="1786"/>
    <cellStyle name="Обычный 246 4" xfId="1787"/>
    <cellStyle name="Обычный 247" xfId="1788"/>
    <cellStyle name="Обычный 247 2" xfId="1789"/>
    <cellStyle name="Обычный 247 2 2" xfId="1790"/>
    <cellStyle name="Обычный 247 3" xfId="1791"/>
    <cellStyle name="Обычный 247 4" xfId="1792"/>
    <cellStyle name="Обычный 248" xfId="1793"/>
    <cellStyle name="Обычный 248 2" xfId="1794"/>
    <cellStyle name="Обычный 248 2 2" xfId="1795"/>
    <cellStyle name="Обычный 248 3" xfId="1796"/>
    <cellStyle name="Обычный 248 4" xfId="1797"/>
    <cellStyle name="Обычный 249" xfId="1798"/>
    <cellStyle name="Обычный 249 2" xfId="1799"/>
    <cellStyle name="Обычный 249 2 2" xfId="1800"/>
    <cellStyle name="Обычный 249 3" xfId="1801"/>
    <cellStyle name="Обычный 249 4" xfId="1802"/>
    <cellStyle name="Обычный 25" xfId="1803"/>
    <cellStyle name="Обычный 25 2" xfId="1804"/>
    <cellStyle name="Обычный 25 2 2" xfId="1805"/>
    <cellStyle name="Обычный 25 3" xfId="1806"/>
    <cellStyle name="Обычный 25 4" xfId="1807"/>
    <cellStyle name="Обычный 250" xfId="1808"/>
    <cellStyle name="Обычный 250 2" xfId="1809"/>
    <cellStyle name="Обычный 250 2 2" xfId="1810"/>
    <cellStyle name="Обычный 250 3" xfId="1811"/>
    <cellStyle name="Обычный 250 4" xfId="1812"/>
    <cellStyle name="Обычный 251" xfId="1813"/>
    <cellStyle name="Обычный 251 2" xfId="1814"/>
    <cellStyle name="Обычный 251 2 2" xfId="1815"/>
    <cellStyle name="Обычный 251 3" xfId="1816"/>
    <cellStyle name="Обычный 251 4" xfId="1817"/>
    <cellStyle name="Обычный 252" xfId="1818"/>
    <cellStyle name="Обычный 252 2" xfId="1819"/>
    <cellStyle name="Обычный 252 2 2" xfId="1820"/>
    <cellStyle name="Обычный 252 3" xfId="1821"/>
    <cellStyle name="Обычный 252 4" xfId="1822"/>
    <cellStyle name="Обычный 253" xfId="1823"/>
    <cellStyle name="Обычный 253 2" xfId="1824"/>
    <cellStyle name="Обычный 253 2 2" xfId="1825"/>
    <cellStyle name="Обычный 253 3" xfId="1826"/>
    <cellStyle name="Обычный 253 4" xfId="1827"/>
    <cellStyle name="Обычный 254" xfId="1828"/>
    <cellStyle name="Обычный 254 2" xfId="1829"/>
    <cellStyle name="Обычный 254 2 2" xfId="1830"/>
    <cellStyle name="Обычный 254 3" xfId="1831"/>
    <cellStyle name="Обычный 254 4" xfId="1832"/>
    <cellStyle name="Обычный 255" xfId="1833"/>
    <cellStyle name="Обычный 255 2" xfId="1834"/>
    <cellStyle name="Обычный 255 2 2" xfId="1835"/>
    <cellStyle name="Обычный 255 3" xfId="1836"/>
    <cellStyle name="Обычный 255 4" xfId="1837"/>
    <cellStyle name="Обычный 256" xfId="1838"/>
    <cellStyle name="Обычный 256 2" xfId="1839"/>
    <cellStyle name="Обычный 256 2 2" xfId="1840"/>
    <cellStyle name="Обычный 256 3" xfId="1841"/>
    <cellStyle name="Обычный 256 4" xfId="1842"/>
    <cellStyle name="Обычный 257" xfId="1843"/>
    <cellStyle name="Обычный 257 2" xfId="1844"/>
    <cellStyle name="Обычный 257 2 2" xfId="1845"/>
    <cellStyle name="Обычный 257 3" xfId="1846"/>
    <cellStyle name="Обычный 257 4" xfId="1847"/>
    <cellStyle name="Обычный 258" xfId="1848"/>
    <cellStyle name="Обычный 258 2" xfId="1849"/>
    <cellStyle name="Обычный 258 2 2" xfId="1850"/>
    <cellStyle name="Обычный 258 3" xfId="1851"/>
    <cellStyle name="Обычный 258 4" xfId="1852"/>
    <cellStyle name="Обычный 259" xfId="1853"/>
    <cellStyle name="Обычный 259 2" xfId="1854"/>
    <cellStyle name="Обычный 259 2 2" xfId="1855"/>
    <cellStyle name="Обычный 259 3" xfId="1856"/>
    <cellStyle name="Обычный 259 4" xfId="1857"/>
    <cellStyle name="Обычный 26" xfId="1858"/>
    <cellStyle name="Обычный 26 2" xfId="1859"/>
    <cellStyle name="Обычный 26 2 2" xfId="1860"/>
    <cellStyle name="Обычный 26 3" xfId="1861"/>
    <cellStyle name="Обычный 26 4" xfId="1862"/>
    <cellStyle name="Обычный 260" xfId="1863"/>
    <cellStyle name="Обычный 260 2" xfId="1864"/>
    <cellStyle name="Обычный 260 2 2" xfId="1865"/>
    <cellStyle name="Обычный 260 3" xfId="1866"/>
    <cellStyle name="Обычный 260 4" xfId="1867"/>
    <cellStyle name="Обычный 261" xfId="1868"/>
    <cellStyle name="Обычный 261 2" xfId="1869"/>
    <cellStyle name="Обычный 261 2 2" xfId="1870"/>
    <cellStyle name="Обычный 261 3" xfId="1871"/>
    <cellStyle name="Обычный 261 4" xfId="1872"/>
    <cellStyle name="Обычный 262" xfId="1873"/>
    <cellStyle name="Обычный 262 2" xfId="1874"/>
    <cellStyle name="Обычный 262 2 2" xfId="1875"/>
    <cellStyle name="Обычный 262 3" xfId="1876"/>
    <cellStyle name="Обычный 262 4" xfId="1877"/>
    <cellStyle name="Обычный 263" xfId="1878"/>
    <cellStyle name="Обычный 263 2" xfId="1879"/>
    <cellStyle name="Обычный 263 2 2" xfId="1880"/>
    <cellStyle name="Обычный 263 3" xfId="1881"/>
    <cellStyle name="Обычный 263 4" xfId="1882"/>
    <cellStyle name="Обычный 264" xfId="1883"/>
    <cellStyle name="Обычный 264 2" xfId="1884"/>
    <cellStyle name="Обычный 264 2 2" xfId="1885"/>
    <cellStyle name="Обычный 264 3" xfId="1886"/>
    <cellStyle name="Обычный 264 4" xfId="1887"/>
    <cellStyle name="Обычный 265" xfId="1888"/>
    <cellStyle name="Обычный 265 2" xfId="1889"/>
    <cellStyle name="Обычный 265 2 2" xfId="1890"/>
    <cellStyle name="Обычный 265 3" xfId="1891"/>
    <cellStyle name="Обычный 265 4" xfId="1892"/>
    <cellStyle name="Обычный 266" xfId="1893"/>
    <cellStyle name="Обычный 266 2" xfId="1894"/>
    <cellStyle name="Обычный 266 2 2" xfId="1895"/>
    <cellStyle name="Обычный 266 3" xfId="1896"/>
    <cellStyle name="Обычный 266 4" xfId="1897"/>
    <cellStyle name="Обычный 267" xfId="1898"/>
    <cellStyle name="Обычный 267 2" xfId="1899"/>
    <cellStyle name="Обычный 267 2 2" xfId="1900"/>
    <cellStyle name="Обычный 267 3" xfId="1901"/>
    <cellStyle name="Обычный 267 4" xfId="1902"/>
    <cellStyle name="Обычный 268" xfId="1903"/>
    <cellStyle name="Обычный 268 2" xfId="1904"/>
    <cellStyle name="Обычный 268 2 2" xfId="1905"/>
    <cellStyle name="Обычный 268 3" xfId="1906"/>
    <cellStyle name="Обычный 268 4" xfId="1907"/>
    <cellStyle name="Обычный 269" xfId="1908"/>
    <cellStyle name="Обычный 269 2" xfId="1909"/>
    <cellStyle name="Обычный 269 2 2" xfId="1910"/>
    <cellStyle name="Обычный 269 3" xfId="1911"/>
    <cellStyle name="Обычный 269 4" xfId="1912"/>
    <cellStyle name="Обычный 27" xfId="1913"/>
    <cellStyle name="Обычный 27 2" xfId="1914"/>
    <cellStyle name="Обычный 27 2 2" xfId="1915"/>
    <cellStyle name="Обычный 27 3" xfId="1916"/>
    <cellStyle name="Обычный 27 4" xfId="1917"/>
    <cellStyle name="Обычный 270" xfId="1918"/>
    <cellStyle name="Обычный 270 2" xfId="1919"/>
    <cellStyle name="Обычный 270 2 2" xfId="1920"/>
    <cellStyle name="Обычный 270 3" xfId="1921"/>
    <cellStyle name="Обычный 270 4" xfId="1922"/>
    <cellStyle name="Обычный 271" xfId="1923"/>
    <cellStyle name="Обычный 271 2" xfId="1924"/>
    <cellStyle name="Обычный 271 2 2" xfId="1925"/>
    <cellStyle name="Обычный 271 3" xfId="1926"/>
    <cellStyle name="Обычный 271 4" xfId="1927"/>
    <cellStyle name="Обычный 272" xfId="1928"/>
    <cellStyle name="Обычный 272 2" xfId="1929"/>
    <cellStyle name="Обычный 272 2 2" xfId="1930"/>
    <cellStyle name="Обычный 272 3" xfId="1931"/>
    <cellStyle name="Обычный 272 4" xfId="1932"/>
    <cellStyle name="Обычный 273" xfId="1933"/>
    <cellStyle name="Обычный 273 2" xfId="1934"/>
    <cellStyle name="Обычный 273 2 2" xfId="1935"/>
    <cellStyle name="Обычный 273 3" xfId="1936"/>
    <cellStyle name="Обычный 273 4" xfId="1937"/>
    <cellStyle name="Обычный 274" xfId="1938"/>
    <cellStyle name="Обычный 274 2" xfId="1939"/>
    <cellStyle name="Обычный 274 2 2" xfId="1940"/>
    <cellStyle name="Обычный 274 3" xfId="1941"/>
    <cellStyle name="Обычный 274 4" xfId="1942"/>
    <cellStyle name="Обычный 275" xfId="1943"/>
    <cellStyle name="Обычный 275 2" xfId="1944"/>
    <cellStyle name="Обычный 275 2 2" xfId="1945"/>
    <cellStyle name="Обычный 275 3" xfId="1946"/>
    <cellStyle name="Обычный 275 4" xfId="1947"/>
    <cellStyle name="Обычный 276" xfId="1948"/>
    <cellStyle name="Обычный 276 2" xfId="1949"/>
    <cellStyle name="Обычный 276 2 2" xfId="1950"/>
    <cellStyle name="Обычный 276 3" xfId="1951"/>
    <cellStyle name="Обычный 276 4" xfId="1952"/>
    <cellStyle name="Обычный 277" xfId="1953"/>
    <cellStyle name="Обычный 277 2" xfId="1954"/>
    <cellStyle name="Обычный 277 2 2" xfId="1955"/>
    <cellStyle name="Обычный 277 3" xfId="1956"/>
    <cellStyle name="Обычный 277 4" xfId="1957"/>
    <cellStyle name="Обычный 278" xfId="1958"/>
    <cellStyle name="Обычный 278 2" xfId="1959"/>
    <cellStyle name="Обычный 278 2 2" xfId="1960"/>
    <cellStyle name="Обычный 278 3" xfId="1961"/>
    <cellStyle name="Обычный 278 4" xfId="1962"/>
    <cellStyle name="Обычный 279" xfId="1963"/>
    <cellStyle name="Обычный 279 2" xfId="1964"/>
    <cellStyle name="Обычный 279 2 2" xfId="1965"/>
    <cellStyle name="Обычный 279 3" xfId="1966"/>
    <cellStyle name="Обычный 279 4" xfId="1967"/>
    <cellStyle name="Обычный 28" xfId="1968"/>
    <cellStyle name="Обычный 28 2" xfId="1969"/>
    <cellStyle name="Обычный 28 2 2" xfId="1970"/>
    <cellStyle name="Обычный 28 3" xfId="1971"/>
    <cellStyle name="Обычный 28 4" xfId="1972"/>
    <cellStyle name="Обычный 280" xfId="1973"/>
    <cellStyle name="Обычный 280 2" xfId="1974"/>
    <cellStyle name="Обычный 280 2 2" xfId="1975"/>
    <cellStyle name="Обычный 280 3" xfId="1976"/>
    <cellStyle name="Обычный 280 4" xfId="1977"/>
    <cellStyle name="Обычный 281" xfId="1978"/>
    <cellStyle name="Обычный 281 2" xfId="1979"/>
    <cellStyle name="Обычный 281 2 2" xfId="1980"/>
    <cellStyle name="Обычный 281 3" xfId="1981"/>
    <cellStyle name="Обычный 281 4" xfId="1982"/>
    <cellStyle name="Обычный 282" xfId="1983"/>
    <cellStyle name="Обычный 282 2" xfId="1984"/>
    <cellStyle name="Обычный 282 2 2" xfId="1985"/>
    <cellStyle name="Обычный 282 3" xfId="1986"/>
    <cellStyle name="Обычный 282 4" xfId="1987"/>
    <cellStyle name="Обычный 283" xfId="1988"/>
    <cellStyle name="Обычный 283 2" xfId="1989"/>
    <cellStyle name="Обычный 283 2 2" xfId="1990"/>
    <cellStyle name="Обычный 283 3" xfId="1991"/>
    <cellStyle name="Обычный 283 4" xfId="1992"/>
    <cellStyle name="Обычный 284" xfId="1993"/>
    <cellStyle name="Обычный 284 2" xfId="1994"/>
    <cellStyle name="Обычный 284 2 2" xfId="1995"/>
    <cellStyle name="Обычный 284 3" xfId="1996"/>
    <cellStyle name="Обычный 284 4" xfId="1997"/>
    <cellStyle name="Обычный 285" xfId="1998"/>
    <cellStyle name="Обычный 285 2" xfId="1999"/>
    <cellStyle name="Обычный 285 2 2" xfId="2000"/>
    <cellStyle name="Обычный 285 3" xfId="2001"/>
    <cellStyle name="Обычный 285 4" xfId="2002"/>
    <cellStyle name="Обычный 286" xfId="2003"/>
    <cellStyle name="Обычный 286 2" xfId="2004"/>
    <cellStyle name="Обычный 286 2 2" xfId="2005"/>
    <cellStyle name="Обычный 286 3" xfId="2006"/>
    <cellStyle name="Обычный 286 4" xfId="2007"/>
    <cellStyle name="Обычный 287" xfId="2008"/>
    <cellStyle name="Обычный 287 2" xfId="2009"/>
    <cellStyle name="Обычный 287 2 2" xfId="2010"/>
    <cellStyle name="Обычный 287 3" xfId="2011"/>
    <cellStyle name="Обычный 287 4" xfId="2012"/>
    <cellStyle name="Обычный 288" xfId="2013"/>
    <cellStyle name="Обычный 288 2" xfId="2014"/>
    <cellStyle name="Обычный 288 2 2" xfId="2015"/>
    <cellStyle name="Обычный 288 3" xfId="2016"/>
    <cellStyle name="Обычный 288 4" xfId="2017"/>
    <cellStyle name="Обычный 289" xfId="2018"/>
    <cellStyle name="Обычный 289 2" xfId="2019"/>
    <cellStyle name="Обычный 289 2 2" xfId="2020"/>
    <cellStyle name="Обычный 289 3" xfId="2021"/>
    <cellStyle name="Обычный 289 4" xfId="2022"/>
    <cellStyle name="Обычный 29" xfId="2023"/>
    <cellStyle name="Обычный 29 2" xfId="2024"/>
    <cellStyle name="Обычный 29 2 2" xfId="2025"/>
    <cellStyle name="Обычный 29 3" xfId="2026"/>
    <cellStyle name="Обычный 29 4" xfId="2027"/>
    <cellStyle name="Обычный 290" xfId="2028"/>
    <cellStyle name="Обычный 290 2" xfId="2029"/>
    <cellStyle name="Обычный 290 2 2" xfId="2030"/>
    <cellStyle name="Обычный 290 3" xfId="2031"/>
    <cellStyle name="Обычный 290 4" xfId="2032"/>
    <cellStyle name="Обычный 291" xfId="2033"/>
    <cellStyle name="Обычный 291 2" xfId="2034"/>
    <cellStyle name="Обычный 291 2 2" xfId="2035"/>
    <cellStyle name="Обычный 291 3" xfId="2036"/>
    <cellStyle name="Обычный 291 4" xfId="2037"/>
    <cellStyle name="Обычный 292" xfId="2038"/>
    <cellStyle name="Обычный 292 2" xfId="2039"/>
    <cellStyle name="Обычный 292 2 2" xfId="2040"/>
    <cellStyle name="Обычный 292 3" xfId="2041"/>
    <cellStyle name="Обычный 292 4" xfId="2042"/>
    <cellStyle name="Обычный 293" xfId="2043"/>
    <cellStyle name="Обычный 293 2" xfId="2044"/>
    <cellStyle name="Обычный 293 2 2" xfId="2045"/>
    <cellStyle name="Обычный 293 3" xfId="2046"/>
    <cellStyle name="Обычный 293 4" xfId="2047"/>
    <cellStyle name="Обычный 294" xfId="2048"/>
    <cellStyle name="Обычный 294 2" xfId="2049"/>
    <cellStyle name="Обычный 294 2 2" xfId="2050"/>
    <cellStyle name="Обычный 294 3" xfId="2051"/>
    <cellStyle name="Обычный 294 4" xfId="2052"/>
    <cellStyle name="Обычный 295" xfId="2053"/>
    <cellStyle name="Обычный 295 2" xfId="2054"/>
    <cellStyle name="Обычный 295 2 2" xfId="2055"/>
    <cellStyle name="Обычный 295 3" xfId="2056"/>
    <cellStyle name="Обычный 295 4" xfId="2057"/>
    <cellStyle name="Обычный 296" xfId="2058"/>
    <cellStyle name="Обычный 296 2" xfId="2059"/>
    <cellStyle name="Обычный 296 2 2" xfId="2060"/>
    <cellStyle name="Обычный 296 3" xfId="2061"/>
    <cellStyle name="Обычный 296 4" xfId="2062"/>
    <cellStyle name="Обычный 297" xfId="2063"/>
    <cellStyle name="Обычный 297 2" xfId="2064"/>
    <cellStyle name="Обычный 297 2 2" xfId="2065"/>
    <cellStyle name="Обычный 297 3" xfId="2066"/>
    <cellStyle name="Обычный 297 4" xfId="2067"/>
    <cellStyle name="Обычный 298" xfId="2068"/>
    <cellStyle name="Обычный 298 2" xfId="2069"/>
    <cellStyle name="Обычный 298 2 2" xfId="2070"/>
    <cellStyle name="Обычный 298 3" xfId="2071"/>
    <cellStyle name="Обычный 298 4" xfId="2072"/>
    <cellStyle name="Обычный 299" xfId="2073"/>
    <cellStyle name="Обычный 299 2" xfId="2074"/>
    <cellStyle name="Обычный 299 2 2" xfId="2075"/>
    <cellStyle name="Обычный 299 3" xfId="2076"/>
    <cellStyle name="Обычный 299 4" xfId="2077"/>
    <cellStyle name="Обычный 3" xfId="2078"/>
    <cellStyle name="Обычный 3 2" xfId="2079"/>
    <cellStyle name="Обычный 3 2 2" xfId="2080"/>
    <cellStyle name="Обычный 3 2 3" xfId="2081"/>
    <cellStyle name="Обычный 3 2 4" xfId="2082"/>
    <cellStyle name="Обычный 3 2 5" xfId="2083"/>
    <cellStyle name="Обычный 3 2 6" xfId="2084"/>
    <cellStyle name="Обычный 3 3" xfId="2085"/>
    <cellStyle name="Обычный 3 3 2" xfId="2086"/>
    <cellStyle name="Обычный 3 3 3" xfId="2087"/>
    <cellStyle name="Обычный 3 3 4" xfId="2088"/>
    <cellStyle name="Обычный 3 3 5" xfId="2089"/>
    <cellStyle name="Обычный 3 4" xfId="2090"/>
    <cellStyle name="Обычный 3 4 2" xfId="2091"/>
    <cellStyle name="Обычный 3 4 3" xfId="2092"/>
    <cellStyle name="Обычный 3 4 4" xfId="2093"/>
    <cellStyle name="Обычный 3 4 5" xfId="2094"/>
    <cellStyle name="Обычный 3 5" xfId="2095"/>
    <cellStyle name="Обычный 3 6" xfId="2096"/>
    <cellStyle name="Обычный 30" xfId="2097"/>
    <cellStyle name="Обычный 30 2" xfId="2098"/>
    <cellStyle name="Обычный 30 2 2" xfId="2099"/>
    <cellStyle name="Обычный 30 3" xfId="2100"/>
    <cellStyle name="Обычный 30 4" xfId="2101"/>
    <cellStyle name="Обычный 300" xfId="2102"/>
    <cellStyle name="Обычный 300 2" xfId="2103"/>
    <cellStyle name="Обычный 300 2 2" xfId="2104"/>
    <cellStyle name="Обычный 300 3" xfId="2105"/>
    <cellStyle name="Обычный 300 4" xfId="2106"/>
    <cellStyle name="Обычный 301" xfId="2107"/>
    <cellStyle name="Обычный 301 2" xfId="2108"/>
    <cellStyle name="Обычный 301 2 2" xfId="2109"/>
    <cellStyle name="Обычный 301 3" xfId="2110"/>
    <cellStyle name="Обычный 301 4" xfId="2111"/>
    <cellStyle name="Обычный 302" xfId="2112"/>
    <cellStyle name="Обычный 302 2" xfId="2113"/>
    <cellStyle name="Обычный 302 2 2" xfId="2114"/>
    <cellStyle name="Обычный 302 3" xfId="2115"/>
    <cellStyle name="Обычный 302 4" xfId="2116"/>
    <cellStyle name="Обычный 303" xfId="2117"/>
    <cellStyle name="Обычный 303 2" xfId="2118"/>
    <cellStyle name="Обычный 303 2 2" xfId="2119"/>
    <cellStyle name="Обычный 303 3" xfId="2120"/>
    <cellStyle name="Обычный 303 4" xfId="2121"/>
    <cellStyle name="Обычный 304" xfId="2122"/>
    <cellStyle name="Обычный 304 2" xfId="2123"/>
    <cellStyle name="Обычный 304 2 2" xfId="2124"/>
    <cellStyle name="Обычный 304 3" xfId="2125"/>
    <cellStyle name="Обычный 304 4" xfId="2126"/>
    <cellStyle name="Обычный 305" xfId="2127"/>
    <cellStyle name="Обычный 305 2" xfId="2128"/>
    <cellStyle name="Обычный 305 2 2" xfId="2129"/>
    <cellStyle name="Обычный 305 3" xfId="2130"/>
    <cellStyle name="Обычный 305 4" xfId="2131"/>
    <cellStyle name="Обычный 306" xfId="2132"/>
    <cellStyle name="Обычный 306 2" xfId="2133"/>
    <cellStyle name="Обычный 306 2 2" xfId="2134"/>
    <cellStyle name="Обычный 306 3" xfId="2135"/>
    <cellStyle name="Обычный 306 4" xfId="2136"/>
    <cellStyle name="Обычный 307" xfId="2137"/>
    <cellStyle name="Обычный 307 2" xfId="2138"/>
    <cellStyle name="Обычный 307 2 2" xfId="2139"/>
    <cellStyle name="Обычный 307 3" xfId="2140"/>
    <cellStyle name="Обычный 307 4" xfId="2141"/>
    <cellStyle name="Обычный 308" xfId="2142"/>
    <cellStyle name="Обычный 308 2" xfId="2143"/>
    <cellStyle name="Обычный 308 2 2" xfId="2144"/>
    <cellStyle name="Обычный 308 3" xfId="2145"/>
    <cellStyle name="Обычный 308 4" xfId="2146"/>
    <cellStyle name="Обычный 309" xfId="2147"/>
    <cellStyle name="Обычный 309 2" xfId="2148"/>
    <cellStyle name="Обычный 309 2 2" xfId="2149"/>
    <cellStyle name="Обычный 309 3" xfId="2150"/>
    <cellStyle name="Обычный 309 4" xfId="2151"/>
    <cellStyle name="Обычный 31" xfId="2152"/>
    <cellStyle name="Обычный 31 2" xfId="2153"/>
    <cellStyle name="Обычный 31 2 2" xfId="2154"/>
    <cellStyle name="Обычный 31 3" xfId="2155"/>
    <cellStyle name="Обычный 31 4" xfId="2156"/>
    <cellStyle name="Обычный 310" xfId="2157"/>
    <cellStyle name="Обычный 311" xfId="2158"/>
    <cellStyle name="Обычный 311 2" xfId="2159"/>
    <cellStyle name="Обычный 311 2 2" xfId="2160"/>
    <cellStyle name="Обычный 311 3" xfId="2161"/>
    <cellStyle name="Обычный 311 4" xfId="2162"/>
    <cellStyle name="Обычный 312" xfId="2163"/>
    <cellStyle name="Обычный 312 2" xfId="2164"/>
    <cellStyle name="Обычный 312 2 2" xfId="2165"/>
    <cellStyle name="Обычный 312 3" xfId="2166"/>
    <cellStyle name="Обычный 312 4" xfId="2167"/>
    <cellStyle name="Обычный 313" xfId="2168"/>
    <cellStyle name="Обычный 313 2" xfId="2169"/>
    <cellStyle name="Обычный 313 2 2" xfId="2170"/>
    <cellStyle name="Обычный 313 3" xfId="2171"/>
    <cellStyle name="Обычный 313 4" xfId="2172"/>
    <cellStyle name="Обычный 314" xfId="2173"/>
    <cellStyle name="Обычный 314 2" xfId="2174"/>
    <cellStyle name="Обычный 314 2 2" xfId="2175"/>
    <cellStyle name="Обычный 314 3" xfId="2176"/>
    <cellStyle name="Обычный 314 4" xfId="2177"/>
    <cellStyle name="Обычный 315" xfId="2178"/>
    <cellStyle name="Обычный 315 2" xfId="2179"/>
    <cellStyle name="Обычный 315 2 2" xfId="2180"/>
    <cellStyle name="Обычный 315 3" xfId="2181"/>
    <cellStyle name="Обычный 315 4" xfId="2182"/>
    <cellStyle name="Обычный 316" xfId="2183"/>
    <cellStyle name="Обычный 316 2" xfId="2184"/>
    <cellStyle name="Обычный 316 2 2" xfId="2185"/>
    <cellStyle name="Обычный 316 3" xfId="2186"/>
    <cellStyle name="Обычный 316 4" xfId="2187"/>
    <cellStyle name="Обычный 317" xfId="2188"/>
    <cellStyle name="Обычный 317 2" xfId="2189"/>
    <cellStyle name="Обычный 317 2 2" xfId="2190"/>
    <cellStyle name="Обычный 317 3" xfId="2191"/>
    <cellStyle name="Обычный 317 4" xfId="2192"/>
    <cellStyle name="Обычный 318" xfId="2193"/>
    <cellStyle name="Обычный 318 2" xfId="2194"/>
    <cellStyle name="Обычный 318 2 2" xfId="2195"/>
    <cellStyle name="Обычный 318 3" xfId="2196"/>
    <cellStyle name="Обычный 318 4" xfId="2197"/>
    <cellStyle name="Обычный 319" xfId="2198"/>
    <cellStyle name="Обычный 319 2" xfId="2199"/>
    <cellStyle name="Обычный 319 2 2" xfId="2200"/>
    <cellStyle name="Обычный 319 3" xfId="2201"/>
    <cellStyle name="Обычный 319 4" xfId="2202"/>
    <cellStyle name="Обычный 32" xfId="2203"/>
    <cellStyle name="Обычный 32 2" xfId="2204"/>
    <cellStyle name="Обычный 32 2 2" xfId="2205"/>
    <cellStyle name="Обычный 32 3" xfId="2206"/>
    <cellStyle name="Обычный 32 4" xfId="2207"/>
    <cellStyle name="Обычный 320" xfId="2208"/>
    <cellStyle name="Обычный 320 2" xfId="2209"/>
    <cellStyle name="Обычный 320 2 2" xfId="2210"/>
    <cellStyle name="Обычный 320 3" xfId="2211"/>
    <cellStyle name="Обычный 320 4" xfId="2212"/>
    <cellStyle name="Обычный 321" xfId="2213"/>
    <cellStyle name="Обычный 321 2" xfId="2214"/>
    <cellStyle name="Обычный 321 2 2" xfId="2215"/>
    <cellStyle name="Обычный 321 3" xfId="2216"/>
    <cellStyle name="Обычный 321 4" xfId="2217"/>
    <cellStyle name="Обычный 322" xfId="2218"/>
    <cellStyle name="Обычный 322 2" xfId="2219"/>
    <cellStyle name="Обычный 322 2 2" xfId="2220"/>
    <cellStyle name="Обычный 322 3" xfId="2221"/>
    <cellStyle name="Обычный 322 4" xfId="2222"/>
    <cellStyle name="Обычный 323" xfId="2223"/>
    <cellStyle name="Обычный 323 2" xfId="2224"/>
    <cellStyle name="Обычный 323 2 2" xfId="2225"/>
    <cellStyle name="Обычный 323 3" xfId="2226"/>
    <cellStyle name="Обычный 323 4" xfId="2227"/>
    <cellStyle name="Обычный 324" xfId="2228"/>
    <cellStyle name="Обычный 324 2" xfId="2229"/>
    <cellStyle name="Обычный 324 2 2" xfId="2230"/>
    <cellStyle name="Обычный 324 3" xfId="2231"/>
    <cellStyle name="Обычный 324 4" xfId="2232"/>
    <cellStyle name="Обычный 325" xfId="2233"/>
    <cellStyle name="Обычный 325 2" xfId="2234"/>
    <cellStyle name="Обычный 325 2 2" xfId="2235"/>
    <cellStyle name="Обычный 325 3" xfId="2236"/>
    <cellStyle name="Обычный 325 4" xfId="2237"/>
    <cellStyle name="Обычный 326" xfId="2238"/>
    <cellStyle name="Обычный 326 2" xfId="2239"/>
    <cellStyle name="Обычный 326 2 2" xfId="2240"/>
    <cellStyle name="Обычный 326 3" xfId="2241"/>
    <cellStyle name="Обычный 326 4" xfId="2242"/>
    <cellStyle name="Обычный 327" xfId="2243"/>
    <cellStyle name="Обычный 327 2" xfId="2244"/>
    <cellStyle name="Обычный 327 2 2" xfId="2245"/>
    <cellStyle name="Обычный 327 3" xfId="2246"/>
    <cellStyle name="Обычный 327 4" xfId="2247"/>
    <cellStyle name="Обычный 328" xfId="2248"/>
    <cellStyle name="Обычный 328 2" xfId="2249"/>
    <cellStyle name="Обычный 328 2 2" xfId="2250"/>
    <cellStyle name="Обычный 328 3" xfId="2251"/>
    <cellStyle name="Обычный 328 4" xfId="2252"/>
    <cellStyle name="Обычный 329" xfId="2253"/>
    <cellStyle name="Обычный 329 2" xfId="2254"/>
    <cellStyle name="Обычный 329 2 2" xfId="2255"/>
    <cellStyle name="Обычный 329 3" xfId="2256"/>
    <cellStyle name="Обычный 329 4" xfId="2257"/>
    <cellStyle name="Обычный 33" xfId="2258"/>
    <cellStyle name="Обычный 33 2" xfId="2259"/>
    <cellStyle name="Обычный 33 2 2" xfId="2260"/>
    <cellStyle name="Обычный 33 3" xfId="2261"/>
    <cellStyle name="Обычный 33 4" xfId="2262"/>
    <cellStyle name="Обычный 330" xfId="2263"/>
    <cellStyle name="Обычный 330 2" xfId="2264"/>
    <cellStyle name="Обычный 330 2 2" xfId="2265"/>
    <cellStyle name="Обычный 330 3" xfId="2266"/>
    <cellStyle name="Обычный 330 4" xfId="2267"/>
    <cellStyle name="Обычный 331" xfId="2268"/>
    <cellStyle name="Обычный 331 2" xfId="2269"/>
    <cellStyle name="Обычный 331 2 2" xfId="2270"/>
    <cellStyle name="Обычный 331 3" xfId="2271"/>
    <cellStyle name="Обычный 331 4" xfId="2272"/>
    <cellStyle name="Обычный 332" xfId="2273"/>
    <cellStyle name="Обычный 332 2" xfId="2274"/>
    <cellStyle name="Обычный 332 2 2" xfId="2275"/>
    <cellStyle name="Обычный 332 3" xfId="2276"/>
    <cellStyle name="Обычный 332 4" xfId="2277"/>
    <cellStyle name="Обычный 333" xfId="2278"/>
    <cellStyle name="Обычный 333 2" xfId="2279"/>
    <cellStyle name="Обычный 333 2 2" xfId="2280"/>
    <cellStyle name="Обычный 333 3" xfId="2281"/>
    <cellStyle name="Обычный 333 4" xfId="2282"/>
    <cellStyle name="Обычный 334" xfId="2283"/>
    <cellStyle name="Обычный 334 2" xfId="2284"/>
    <cellStyle name="Обычный 334 2 2" xfId="2285"/>
    <cellStyle name="Обычный 334 3" xfId="2286"/>
    <cellStyle name="Обычный 334 4" xfId="2287"/>
    <cellStyle name="Обычный 335" xfId="2288"/>
    <cellStyle name="Обычный 335 2" xfId="2289"/>
    <cellStyle name="Обычный 335 2 2" xfId="2290"/>
    <cellStyle name="Обычный 335 3" xfId="2291"/>
    <cellStyle name="Обычный 335 4" xfId="2292"/>
    <cellStyle name="Обычный 336" xfId="2293"/>
    <cellStyle name="Обычный 336 2" xfId="2294"/>
    <cellStyle name="Обычный 336 2 2" xfId="2295"/>
    <cellStyle name="Обычный 336 3" xfId="2296"/>
    <cellStyle name="Обычный 336 4" xfId="2297"/>
    <cellStyle name="Обычный 337" xfId="2298"/>
    <cellStyle name="Обычный 337 2" xfId="2299"/>
    <cellStyle name="Обычный 337 2 2" xfId="2300"/>
    <cellStyle name="Обычный 337 3" xfId="2301"/>
    <cellStyle name="Обычный 337 4" xfId="2302"/>
    <cellStyle name="Обычный 338" xfId="2303"/>
    <cellStyle name="Обычный 338 2" xfId="2304"/>
    <cellStyle name="Обычный 338 2 2" xfId="2305"/>
    <cellStyle name="Обычный 338 3" xfId="2306"/>
    <cellStyle name="Обычный 338 4" xfId="2307"/>
    <cellStyle name="Обычный 339" xfId="2308"/>
    <cellStyle name="Обычный 339 2" xfId="2309"/>
    <cellStyle name="Обычный 339 2 2" xfId="2310"/>
    <cellStyle name="Обычный 339 3" xfId="2311"/>
    <cellStyle name="Обычный 339 4" xfId="2312"/>
    <cellStyle name="Обычный 34" xfId="2313"/>
    <cellStyle name="Обычный 34 2" xfId="2314"/>
    <cellStyle name="Обычный 34 2 2" xfId="2315"/>
    <cellStyle name="Обычный 34 3" xfId="2316"/>
    <cellStyle name="Обычный 34 4" xfId="2317"/>
    <cellStyle name="Обычный 340" xfId="2318"/>
    <cellStyle name="Обычный 340 2" xfId="2319"/>
    <cellStyle name="Обычный 340 2 2" xfId="2320"/>
    <cellStyle name="Обычный 340 3" xfId="2321"/>
    <cellStyle name="Обычный 340 4" xfId="2322"/>
    <cellStyle name="Обычный 341" xfId="2323"/>
    <cellStyle name="Обычный 341 2" xfId="2324"/>
    <cellStyle name="Обычный 341 2 2" xfId="2325"/>
    <cellStyle name="Обычный 341 3" xfId="2326"/>
    <cellStyle name="Обычный 341 4" xfId="2327"/>
    <cellStyle name="Обычный 342" xfId="2328"/>
    <cellStyle name="Обычный 342 2" xfId="2329"/>
    <cellStyle name="Обычный 342 2 2" xfId="2330"/>
    <cellStyle name="Обычный 342 3" xfId="2331"/>
    <cellStyle name="Обычный 342 4" xfId="2332"/>
    <cellStyle name="Обычный 343" xfId="2333"/>
    <cellStyle name="Обычный 343 2" xfId="2334"/>
    <cellStyle name="Обычный 343 2 2" xfId="2335"/>
    <cellStyle name="Обычный 343 3" xfId="2336"/>
    <cellStyle name="Обычный 343 4" xfId="2337"/>
    <cellStyle name="Обычный 344" xfId="2338"/>
    <cellStyle name="Обычный 344 2" xfId="2339"/>
    <cellStyle name="Обычный 344 2 2" xfId="2340"/>
    <cellStyle name="Обычный 344 3" xfId="2341"/>
    <cellStyle name="Обычный 344 4" xfId="2342"/>
    <cellStyle name="Обычный 345" xfId="2343"/>
    <cellStyle name="Обычный 345 2" xfId="2344"/>
    <cellStyle name="Обычный 345 2 2" xfId="2345"/>
    <cellStyle name="Обычный 345 3" xfId="2346"/>
    <cellStyle name="Обычный 345 4" xfId="2347"/>
    <cellStyle name="Обычный 346" xfId="2348"/>
    <cellStyle name="Обычный 346 2" xfId="2349"/>
    <cellStyle name="Обычный 346 2 2" xfId="2350"/>
    <cellStyle name="Обычный 346 3" xfId="2351"/>
    <cellStyle name="Обычный 346 4" xfId="2352"/>
    <cellStyle name="Обычный 347" xfId="2353"/>
    <cellStyle name="Обычный 347 2" xfId="2354"/>
    <cellStyle name="Обычный 347 2 2" xfId="2355"/>
    <cellStyle name="Обычный 347 3" xfId="2356"/>
    <cellStyle name="Обычный 347 4" xfId="2357"/>
    <cellStyle name="Обычный 348" xfId="2358"/>
    <cellStyle name="Обычный 348 2" xfId="2359"/>
    <cellStyle name="Обычный 348 2 2" xfId="2360"/>
    <cellStyle name="Обычный 348 3" xfId="2361"/>
    <cellStyle name="Обычный 348 4" xfId="2362"/>
    <cellStyle name="Обычный 349" xfId="2363"/>
    <cellStyle name="Обычный 349 2" xfId="2364"/>
    <cellStyle name="Обычный 349 2 2" xfId="2365"/>
    <cellStyle name="Обычный 349 3" xfId="2366"/>
    <cellStyle name="Обычный 349 4" xfId="2367"/>
    <cellStyle name="Обычный 35" xfId="2368"/>
    <cellStyle name="Обычный 35 2" xfId="2369"/>
    <cellStyle name="Обычный 35 2 2" xfId="2370"/>
    <cellStyle name="Обычный 35 2 3" xfId="2371"/>
    <cellStyle name="Обычный 35 3" xfId="2372"/>
    <cellStyle name="Обычный 35 3 2" xfId="2373"/>
    <cellStyle name="Обычный 35 4" xfId="2374"/>
    <cellStyle name="Обычный 35 5" xfId="2375"/>
    <cellStyle name="Обычный 35 6" xfId="2376"/>
    <cellStyle name="Обычный 35 7" xfId="2377"/>
    <cellStyle name="Обычный 35 8" xfId="2378"/>
    <cellStyle name="Обычный 350" xfId="2379"/>
    <cellStyle name="Обычный 350 2" xfId="2380"/>
    <cellStyle name="Обычный 350 2 2" xfId="2381"/>
    <cellStyle name="Обычный 350 3" xfId="2382"/>
    <cellStyle name="Обычный 350 4" xfId="2383"/>
    <cellStyle name="Обычный 351" xfId="2384"/>
    <cellStyle name="Обычный 351 2" xfId="2385"/>
    <cellStyle name="Обычный 351 2 2" xfId="2386"/>
    <cellStyle name="Обычный 351 3" xfId="2387"/>
    <cellStyle name="Обычный 351 4" xfId="2388"/>
    <cellStyle name="Обычный 352" xfId="2389"/>
    <cellStyle name="Обычный 352 2" xfId="2390"/>
    <cellStyle name="Обычный 352 2 2" xfId="2391"/>
    <cellStyle name="Обычный 352 3" xfId="2392"/>
    <cellStyle name="Обычный 352 4" xfId="2393"/>
    <cellStyle name="Обычный 353" xfId="2394"/>
    <cellStyle name="Обычный 353 2" xfId="2395"/>
    <cellStyle name="Обычный 353 2 2" xfId="2396"/>
    <cellStyle name="Обычный 353 3" xfId="2397"/>
    <cellStyle name="Обычный 353 4" xfId="2398"/>
    <cellStyle name="Обычный 354" xfId="2399"/>
    <cellStyle name="Обычный 354 2" xfId="2400"/>
    <cellStyle name="Обычный 354 2 2" xfId="2401"/>
    <cellStyle name="Обычный 354 3" xfId="2402"/>
    <cellStyle name="Обычный 354 4" xfId="2403"/>
    <cellStyle name="Обычный 355" xfId="2404"/>
    <cellStyle name="Обычный 356" xfId="2405"/>
    <cellStyle name="Обычный 356 2" xfId="2406"/>
    <cellStyle name="Обычный 357" xfId="2407"/>
    <cellStyle name="Обычный 357 2" xfId="2408"/>
    <cellStyle name="Обычный 358" xfId="2409"/>
    <cellStyle name="Обычный 358 2" xfId="2410"/>
    <cellStyle name="Обычный 359" xfId="2411"/>
    <cellStyle name="Обычный 359 3" xfId="2412"/>
    <cellStyle name="Обычный 36" xfId="2413"/>
    <cellStyle name="Обычный 36 2" xfId="2414"/>
    <cellStyle name="Обычный 36 2 2" xfId="2415"/>
    <cellStyle name="Обычный 36 3" xfId="2416"/>
    <cellStyle name="Обычный 36 4" xfId="2417"/>
    <cellStyle name="Обычный 360" xfId="2418"/>
    <cellStyle name="Обычный 361" xfId="2419"/>
    <cellStyle name="Обычный 361 2" xfId="2420"/>
    <cellStyle name="Обычный 362" xfId="2421"/>
    <cellStyle name="Обычный 363" xfId="2422"/>
    <cellStyle name="Обычный 364" xfId="2423"/>
    <cellStyle name="Обычный 37" xfId="2424"/>
    <cellStyle name="Обычный 37 2" xfId="2425"/>
    <cellStyle name="Обычный 37 2 2" xfId="2426"/>
    <cellStyle name="Обычный 37 3" xfId="2427"/>
    <cellStyle name="Обычный 37 4" xfId="2428"/>
    <cellStyle name="Обычный 38" xfId="2429"/>
    <cellStyle name="Обычный 38 2" xfId="2430"/>
    <cellStyle name="Обычный 38 2 2" xfId="2431"/>
    <cellStyle name="Обычный 38 3" xfId="2432"/>
    <cellStyle name="Обычный 38 4" xfId="2433"/>
    <cellStyle name="Обычный 39" xfId="2434"/>
    <cellStyle name="Обычный 39 2" xfId="2435"/>
    <cellStyle name="Обычный 39 2 2" xfId="2436"/>
    <cellStyle name="Обычный 39 3" xfId="2437"/>
    <cellStyle name="Обычный 39 4" xfId="2438"/>
    <cellStyle name="Обычный 4" xfId="2439"/>
    <cellStyle name="Обычный 4 2" xfId="2440"/>
    <cellStyle name="Обычный 4 2 2" xfId="2441"/>
    <cellStyle name="Обычный 4 2 3" xfId="2442"/>
    <cellStyle name="Обычный 4 2 4" xfId="2443"/>
    <cellStyle name="Обычный 4 3" xfId="2444"/>
    <cellStyle name="Обычный 4 3 2" xfId="2445"/>
    <cellStyle name="Обычный 4 3 3" xfId="2446"/>
    <cellStyle name="Обычный 4 3 4" xfId="2447"/>
    <cellStyle name="Обычный 4 3 5" xfId="2448"/>
    <cellStyle name="Обычный 4 4" xfId="2449"/>
    <cellStyle name="Обычный 4 5" xfId="2450"/>
    <cellStyle name="Обычный 4 6" xfId="2451"/>
    <cellStyle name="Обычный 4 7" xfId="2452"/>
    <cellStyle name="Обычный 40" xfId="2453"/>
    <cellStyle name="Обычный 40 2" xfId="2454"/>
    <cellStyle name="Обычный 40 2 2" xfId="2455"/>
    <cellStyle name="Обычный 40 3" xfId="2456"/>
    <cellStyle name="Обычный 40 4" xfId="2457"/>
    <cellStyle name="Обычный 41" xfId="2458"/>
    <cellStyle name="Обычный 41 2" xfId="2459"/>
    <cellStyle name="Обычный 41 2 2" xfId="2460"/>
    <cellStyle name="Обычный 41 3" xfId="2461"/>
    <cellStyle name="Обычный 41 4" xfId="2462"/>
    <cellStyle name="Обычный 42" xfId="2463"/>
    <cellStyle name="Обычный 42 2" xfId="2464"/>
    <cellStyle name="Обычный 42 2 2" xfId="2465"/>
    <cellStyle name="Обычный 42 3" xfId="2466"/>
    <cellStyle name="Обычный 42 4" xfId="2467"/>
    <cellStyle name="Обычный 43" xfId="2468"/>
    <cellStyle name="Обычный 43 2" xfId="2469"/>
    <cellStyle name="Обычный 43 2 2" xfId="2470"/>
    <cellStyle name="Обычный 43 3" xfId="2471"/>
    <cellStyle name="Обычный 43 4" xfId="2472"/>
    <cellStyle name="Обычный 44" xfId="2473"/>
    <cellStyle name="Обычный 44 2" xfId="2474"/>
    <cellStyle name="Обычный 44 2 2" xfId="2475"/>
    <cellStyle name="Обычный 44 3" xfId="2476"/>
    <cellStyle name="Обычный 44 4" xfId="2477"/>
    <cellStyle name="Обычный 45" xfId="2478"/>
    <cellStyle name="Обычный 45 2" xfId="2479"/>
    <cellStyle name="Обычный 45 2 2" xfId="2480"/>
    <cellStyle name="Обычный 45 3" xfId="2481"/>
    <cellStyle name="Обычный 45 4" xfId="2482"/>
    <cellStyle name="Обычный 46" xfId="2483"/>
    <cellStyle name="Обычный 46 2" xfId="2484"/>
    <cellStyle name="Обычный 46 2 2" xfId="2485"/>
    <cellStyle name="Обычный 46 3" xfId="2486"/>
    <cellStyle name="Обычный 46 4" xfId="2487"/>
    <cellStyle name="Обычный 47" xfId="2488"/>
    <cellStyle name="Обычный 47 2" xfId="2489"/>
    <cellStyle name="Обычный 47 2 2" xfId="2490"/>
    <cellStyle name="Обычный 47 3" xfId="2491"/>
    <cellStyle name="Обычный 47 4" xfId="2492"/>
    <cellStyle name="Обычный 48" xfId="2493"/>
    <cellStyle name="Обычный 48 2" xfId="2494"/>
    <cellStyle name="Обычный 48 2 2" xfId="2495"/>
    <cellStyle name="Обычный 48 3" xfId="2496"/>
    <cellStyle name="Обычный 48 4" xfId="2497"/>
    <cellStyle name="Обычный 49" xfId="2498"/>
    <cellStyle name="Обычный 49 2" xfId="2499"/>
    <cellStyle name="Обычный 49 2 2" xfId="2500"/>
    <cellStyle name="Обычный 49 3" xfId="2501"/>
    <cellStyle name="Обычный 49 4" xfId="2502"/>
    <cellStyle name="Обычный 5" xfId="2503"/>
    <cellStyle name="Обычный 5 2" xfId="2504"/>
    <cellStyle name="Обычный 5 2 2" xfId="2505"/>
    <cellStyle name="Обычный 5 3" xfId="2506"/>
    <cellStyle name="Обычный 5 3 2" xfId="2507"/>
    <cellStyle name="Обычный 5 4" xfId="2508"/>
    <cellStyle name="Обычный 5 5" xfId="2509"/>
    <cellStyle name="Обычный 5 6" xfId="2510"/>
    <cellStyle name="Обычный 5 7" xfId="2511"/>
    <cellStyle name="Обычный 5 8" xfId="2512"/>
    <cellStyle name="Обычный 50" xfId="2513"/>
    <cellStyle name="Обычный 50 2" xfId="2514"/>
    <cellStyle name="Обычный 50 2 2" xfId="2515"/>
    <cellStyle name="Обычный 50 3" xfId="2516"/>
    <cellStyle name="Обычный 50 4" xfId="2517"/>
    <cellStyle name="Обычный 51" xfId="2518"/>
    <cellStyle name="Обычный 51 2" xfId="2519"/>
    <cellStyle name="Обычный 51 2 2" xfId="2520"/>
    <cellStyle name="Обычный 51 3" xfId="2521"/>
    <cellStyle name="Обычный 51 4" xfId="2522"/>
    <cellStyle name="Обычный 52" xfId="2523"/>
    <cellStyle name="Обычный 52 2" xfId="2524"/>
    <cellStyle name="Обычный 52 2 2" xfId="2525"/>
    <cellStyle name="Обычный 52 3" xfId="2526"/>
    <cellStyle name="Обычный 52 4" xfId="2527"/>
    <cellStyle name="Обычный 53" xfId="2528"/>
    <cellStyle name="Обычный 53 2" xfId="2529"/>
    <cellStyle name="Обычный 53 2 2" xfId="2530"/>
    <cellStyle name="Обычный 53 3" xfId="2531"/>
    <cellStyle name="Обычный 53 4" xfId="2532"/>
    <cellStyle name="Обычный 54" xfId="2533"/>
    <cellStyle name="Обычный 54 2" xfId="2534"/>
    <cellStyle name="Обычный 54 2 2" xfId="2535"/>
    <cellStyle name="Обычный 54 3" xfId="2536"/>
    <cellStyle name="Обычный 54 4" xfId="2537"/>
    <cellStyle name="Обычный 55" xfId="2538"/>
    <cellStyle name="Обычный 55 2" xfId="2539"/>
    <cellStyle name="Обычный 55 2 2" xfId="2540"/>
    <cellStyle name="Обычный 55 3" xfId="2541"/>
    <cellStyle name="Обычный 55 4" xfId="2542"/>
    <cellStyle name="Обычный 56" xfId="2543"/>
    <cellStyle name="Обычный 56 2" xfId="2544"/>
    <cellStyle name="Обычный 56 2 2" xfId="2545"/>
    <cellStyle name="Обычный 56 3" xfId="2546"/>
    <cellStyle name="Обычный 56 4" xfId="2547"/>
    <cellStyle name="Обычный 57" xfId="2548"/>
    <cellStyle name="Обычный 57 2" xfId="2549"/>
    <cellStyle name="Обычный 57 2 2" xfId="2550"/>
    <cellStyle name="Обычный 57 3" xfId="2551"/>
    <cellStyle name="Обычный 57 4" xfId="2552"/>
    <cellStyle name="Обычный 58" xfId="2553"/>
    <cellStyle name="Обычный 58 2" xfId="2554"/>
    <cellStyle name="Обычный 58 2 2" xfId="2555"/>
    <cellStyle name="Обычный 58 3" xfId="2556"/>
    <cellStyle name="Обычный 58 4" xfId="2557"/>
    <cellStyle name="Обычный 59" xfId="2558"/>
    <cellStyle name="Обычный 59 2" xfId="2559"/>
    <cellStyle name="Обычный 59 2 2" xfId="2560"/>
    <cellStyle name="Обычный 59 3" xfId="2561"/>
    <cellStyle name="Обычный 59 4" xfId="2562"/>
    <cellStyle name="Обычный 6" xfId="2563"/>
    <cellStyle name="Обычный 6 2" xfId="2564"/>
    <cellStyle name="Обычный 6 2 2" xfId="2565"/>
    <cellStyle name="Обычный 6 2 3" xfId="2566"/>
    <cellStyle name="Обычный 6 3" xfId="2567"/>
    <cellStyle name="Обычный 6 3 2" xfId="2568"/>
    <cellStyle name="Обычный 6 3 3" xfId="2569"/>
    <cellStyle name="Обычный 6 4" xfId="2570"/>
    <cellStyle name="Обычный 6 4 2" xfId="2571"/>
    <cellStyle name="Обычный 6 5" xfId="2572"/>
    <cellStyle name="Обычный 6 6" xfId="2573"/>
    <cellStyle name="Обычный 6 7" xfId="2574"/>
    <cellStyle name="Обычный 6 8" xfId="2575"/>
    <cellStyle name="Обычный 60" xfId="2576"/>
    <cellStyle name="Обычный 60 2" xfId="2577"/>
    <cellStyle name="Обычный 60 2 2" xfId="2578"/>
    <cellStyle name="Обычный 60 3" xfId="2579"/>
    <cellStyle name="Обычный 60 4" xfId="2580"/>
    <cellStyle name="Обычный 61" xfId="2581"/>
    <cellStyle name="Обычный 61 2" xfId="2582"/>
    <cellStyle name="Обычный 61 2 2" xfId="2583"/>
    <cellStyle name="Обычный 61 3" xfId="2584"/>
    <cellStyle name="Обычный 61 4" xfId="2585"/>
    <cellStyle name="Обычный 62" xfId="2586"/>
    <cellStyle name="Обычный 62 2" xfId="2587"/>
    <cellStyle name="Обычный 62 2 2" xfId="2588"/>
    <cellStyle name="Обычный 62 3" xfId="2589"/>
    <cellStyle name="Обычный 62 4" xfId="2590"/>
    <cellStyle name="Обычный 63" xfId="2591"/>
    <cellStyle name="Обычный 63 2" xfId="2592"/>
    <cellStyle name="Обычный 63 2 2" xfId="2593"/>
    <cellStyle name="Обычный 63 3" xfId="2594"/>
    <cellStyle name="Обычный 63 4" xfId="2595"/>
    <cellStyle name="Обычный 64" xfId="2596"/>
    <cellStyle name="Обычный 64 2" xfId="2597"/>
    <cellStyle name="Обычный 64 2 2" xfId="2598"/>
    <cellStyle name="Обычный 64 3" xfId="2599"/>
    <cellStyle name="Обычный 64 4" xfId="2600"/>
    <cellStyle name="Обычный 65" xfId="2601"/>
    <cellStyle name="Обычный 65 2" xfId="2602"/>
    <cellStyle name="Обычный 65 2 2" xfId="2603"/>
    <cellStyle name="Обычный 65 3" xfId="2604"/>
    <cellStyle name="Обычный 65 4" xfId="2605"/>
    <cellStyle name="Обычный 66" xfId="2606"/>
    <cellStyle name="Обычный 66 2" xfId="2607"/>
    <cellStyle name="Обычный 66 2 2" xfId="2608"/>
    <cellStyle name="Обычный 66 3" xfId="2609"/>
    <cellStyle name="Обычный 66 4" xfId="2610"/>
    <cellStyle name="Обычный 67" xfId="2611"/>
    <cellStyle name="Обычный 67 2" xfId="2612"/>
    <cellStyle name="Обычный 67 2 2" xfId="2613"/>
    <cellStyle name="Обычный 67 3" xfId="2614"/>
    <cellStyle name="Обычный 67 4" xfId="2615"/>
    <cellStyle name="Обычный 68" xfId="2616"/>
    <cellStyle name="Обычный 68 2" xfId="2617"/>
    <cellStyle name="Обычный 68 2 2" xfId="2618"/>
    <cellStyle name="Обычный 68 3" xfId="2619"/>
    <cellStyle name="Обычный 68 4" xfId="2620"/>
    <cellStyle name="Обычный 69" xfId="2621"/>
    <cellStyle name="Обычный 69 2" xfId="2622"/>
    <cellStyle name="Обычный 69 2 2" xfId="2623"/>
    <cellStyle name="Обычный 69 3" xfId="2624"/>
    <cellStyle name="Обычный 69 4" xfId="2625"/>
    <cellStyle name="Обычный 7" xfId="2626"/>
    <cellStyle name="Обычный 7 2" xfId="2627"/>
    <cellStyle name="Обычный 7 2 2" xfId="2628"/>
    <cellStyle name="Обычный 7 3" xfId="2629"/>
    <cellStyle name="Обычный 7 3 2" xfId="2630"/>
    <cellStyle name="Обычный 7 3 3" xfId="2631"/>
    <cellStyle name="Обычный 7 4" xfId="2632"/>
    <cellStyle name="Обычный 7 5" xfId="2633"/>
    <cellStyle name="Обычный 7 6" xfId="2634"/>
    <cellStyle name="Обычный 70" xfId="2635"/>
    <cellStyle name="Обычный 70 2" xfId="2636"/>
    <cellStyle name="Обычный 70 2 2" xfId="2637"/>
    <cellStyle name="Обычный 70 3" xfId="2638"/>
    <cellStyle name="Обычный 70 4" xfId="2639"/>
    <cellStyle name="Обычный 71" xfId="2640"/>
    <cellStyle name="Обычный 71 2" xfId="2641"/>
    <cellStyle name="Обычный 71 2 2" xfId="2642"/>
    <cellStyle name="Обычный 71 3" xfId="2643"/>
    <cellStyle name="Обычный 71 4" xfId="2644"/>
    <cellStyle name="Обычный 72" xfId="2645"/>
    <cellStyle name="Обычный 72 2" xfId="2646"/>
    <cellStyle name="Обычный 72 2 2" xfId="2647"/>
    <cellStyle name="Обычный 72 3" xfId="2648"/>
    <cellStyle name="Обычный 72 4" xfId="2649"/>
    <cellStyle name="Обычный 73" xfId="2650"/>
    <cellStyle name="Обычный 73 2" xfId="2651"/>
    <cellStyle name="Обычный 73 2 2" xfId="2652"/>
    <cellStyle name="Обычный 73 3" xfId="2653"/>
    <cellStyle name="Обычный 73 4" xfId="2654"/>
    <cellStyle name="Обычный 74" xfId="2655"/>
    <cellStyle name="Обычный 74 2" xfId="2656"/>
    <cellStyle name="Обычный 74 2 2" xfId="2657"/>
    <cellStyle name="Обычный 74 3" xfId="2658"/>
    <cellStyle name="Обычный 74 4" xfId="2659"/>
    <cellStyle name="Обычный 75" xfId="2660"/>
    <cellStyle name="Обычный 75 2" xfId="2661"/>
    <cellStyle name="Обычный 75 2 2" xfId="2662"/>
    <cellStyle name="Обычный 75 3" xfId="2663"/>
    <cellStyle name="Обычный 75 4" xfId="2664"/>
    <cellStyle name="Обычный 76" xfId="2665"/>
    <cellStyle name="Обычный 76 2" xfId="2666"/>
    <cellStyle name="Обычный 76 2 2" xfId="2667"/>
    <cellStyle name="Обычный 76 3" xfId="2668"/>
    <cellStyle name="Обычный 76 4" xfId="2669"/>
    <cellStyle name="Обычный 77" xfId="2670"/>
    <cellStyle name="Обычный 77 2" xfId="2671"/>
    <cellStyle name="Обычный 77 2 2" xfId="2672"/>
    <cellStyle name="Обычный 77 3" xfId="2673"/>
    <cellStyle name="Обычный 77 4" xfId="2674"/>
    <cellStyle name="Обычный 78" xfId="2675"/>
    <cellStyle name="Обычный 78 2" xfId="2676"/>
    <cellStyle name="Обычный 78 2 2" xfId="2677"/>
    <cellStyle name="Обычный 78 3" xfId="2678"/>
    <cellStyle name="Обычный 78 4" xfId="2679"/>
    <cellStyle name="Обычный 79" xfId="2680"/>
    <cellStyle name="Обычный 79 2" xfId="2681"/>
    <cellStyle name="Обычный 79 2 2" xfId="2682"/>
    <cellStyle name="Обычный 79 3" xfId="2683"/>
    <cellStyle name="Обычный 79 4" xfId="2684"/>
    <cellStyle name="Обычный 8" xfId="2685"/>
    <cellStyle name="Обычный 8 2" xfId="2686"/>
    <cellStyle name="Обычный 8 2 2" xfId="2687"/>
    <cellStyle name="Обычный 8 2 3" xfId="2688"/>
    <cellStyle name="Обычный 8 3" xfId="2689"/>
    <cellStyle name="Обычный 8 3 2" xfId="2690"/>
    <cellStyle name="Обычный 8 3 3" xfId="2691"/>
    <cellStyle name="Обычный 8 3 4" xfId="2692"/>
    <cellStyle name="Обычный 8 4" xfId="2693"/>
    <cellStyle name="Обычный 8 5" xfId="2694"/>
    <cellStyle name="Обычный 8 6" xfId="2695"/>
    <cellStyle name="Обычный 8 7" xfId="2696"/>
    <cellStyle name="Обычный 80" xfId="2697"/>
    <cellStyle name="Обычный 80 2" xfId="2698"/>
    <cellStyle name="Обычный 80 2 2" xfId="2699"/>
    <cellStyle name="Обычный 80 3" xfId="2700"/>
    <cellStyle name="Обычный 80 4" xfId="2701"/>
    <cellStyle name="Обычный 81" xfId="2702"/>
    <cellStyle name="Обычный 81 2" xfId="2703"/>
    <cellStyle name="Обычный 81 2 2" xfId="2704"/>
    <cellStyle name="Обычный 81 3" xfId="2705"/>
    <cellStyle name="Обычный 81 4" xfId="2706"/>
    <cellStyle name="Обычный 82" xfId="2707"/>
    <cellStyle name="Обычный 82 2" xfId="2708"/>
    <cellStyle name="Обычный 82 2 2" xfId="2709"/>
    <cellStyle name="Обычный 82 3" xfId="2710"/>
    <cellStyle name="Обычный 82 4" xfId="2711"/>
    <cellStyle name="Обычный 83" xfId="2712"/>
    <cellStyle name="Обычный 83 2" xfId="2713"/>
    <cellStyle name="Обычный 83 2 2" xfId="2714"/>
    <cellStyle name="Обычный 83 3" xfId="2715"/>
    <cellStyle name="Обычный 83 4" xfId="2716"/>
    <cellStyle name="Обычный 84" xfId="2717"/>
    <cellStyle name="Обычный 84 2" xfId="2718"/>
    <cellStyle name="Обычный 84 2 2" xfId="2719"/>
    <cellStyle name="Обычный 84 3" xfId="2720"/>
    <cellStyle name="Обычный 84 4" xfId="2721"/>
    <cellStyle name="Обычный 85" xfId="2722"/>
    <cellStyle name="Обычный 85 2" xfId="2723"/>
    <cellStyle name="Обычный 85 2 2" xfId="2724"/>
    <cellStyle name="Обычный 85 3" xfId="2725"/>
    <cellStyle name="Обычный 85 4" xfId="2726"/>
    <cellStyle name="Обычный 86" xfId="2727"/>
    <cellStyle name="Обычный 86 2" xfId="2728"/>
    <cellStyle name="Обычный 86 2 2" xfId="2729"/>
    <cellStyle name="Обычный 86 3" xfId="2730"/>
    <cellStyle name="Обычный 86 4" xfId="2731"/>
    <cellStyle name="Обычный 87" xfId="2732"/>
    <cellStyle name="Обычный 87 2" xfId="2733"/>
    <cellStyle name="Обычный 87 2 2" xfId="2734"/>
    <cellStyle name="Обычный 87 3" xfId="2735"/>
    <cellStyle name="Обычный 87 4" xfId="2736"/>
    <cellStyle name="Обычный 88" xfId="2737"/>
    <cellStyle name="Обычный 88 2" xfId="2738"/>
    <cellStyle name="Обычный 88 2 2" xfId="2739"/>
    <cellStyle name="Обычный 88 3" xfId="2740"/>
    <cellStyle name="Обычный 88 4" xfId="2741"/>
    <cellStyle name="Обычный 89" xfId="2742"/>
    <cellStyle name="Обычный 89 2" xfId="2743"/>
    <cellStyle name="Обычный 89 2 2" xfId="2744"/>
    <cellStyle name="Обычный 89 3" xfId="2745"/>
    <cellStyle name="Обычный 89 4" xfId="2746"/>
    <cellStyle name="Обычный 9" xfId="2747"/>
    <cellStyle name="Обычный 9 2" xfId="2748"/>
    <cellStyle name="Обычный 9 2 2" xfId="2749"/>
    <cellStyle name="Обычный 9 3" xfId="2750"/>
    <cellStyle name="Обычный 9 3 2" xfId="2751"/>
    <cellStyle name="Обычный 9 4" xfId="2752"/>
    <cellStyle name="Обычный 9 5" xfId="2753"/>
    <cellStyle name="Обычный 9 6" xfId="2754"/>
    <cellStyle name="Обычный 90" xfId="2755"/>
    <cellStyle name="Обычный 90 2" xfId="2756"/>
    <cellStyle name="Обычный 90 2 2" xfId="2757"/>
    <cellStyle name="Обычный 90 3" xfId="2758"/>
    <cellStyle name="Обычный 90 4" xfId="2759"/>
    <cellStyle name="Обычный 91" xfId="2760"/>
    <cellStyle name="Обычный 91 2" xfId="2761"/>
    <cellStyle name="Обычный 91 2 2" xfId="2762"/>
    <cellStyle name="Обычный 91 3" xfId="2763"/>
    <cellStyle name="Обычный 91 4" xfId="2764"/>
    <cellStyle name="Обычный 92" xfId="2765"/>
    <cellStyle name="Обычный 92 2" xfId="2766"/>
    <cellStyle name="Обычный 92 2 2" xfId="2767"/>
    <cellStyle name="Обычный 92 3" xfId="2768"/>
    <cellStyle name="Обычный 92 4" xfId="2769"/>
    <cellStyle name="Обычный 93" xfId="2770"/>
    <cellStyle name="Обычный 93 2" xfId="2771"/>
    <cellStyle name="Обычный 93 2 2" xfId="2772"/>
    <cellStyle name="Обычный 93 3" xfId="2773"/>
    <cellStyle name="Обычный 93 4" xfId="2774"/>
    <cellStyle name="Обычный 94" xfId="2775"/>
    <cellStyle name="Обычный 94 2" xfId="2776"/>
    <cellStyle name="Обычный 94 2 2" xfId="2777"/>
    <cellStyle name="Обычный 94 3" xfId="2778"/>
    <cellStyle name="Обычный 94 4" xfId="2779"/>
    <cellStyle name="Обычный 95" xfId="2780"/>
    <cellStyle name="Обычный 95 2" xfId="2781"/>
    <cellStyle name="Обычный 95 2 2" xfId="2782"/>
    <cellStyle name="Обычный 95 3" xfId="2783"/>
    <cellStyle name="Обычный 95 4" xfId="2784"/>
    <cellStyle name="Обычный 96" xfId="2785"/>
    <cellStyle name="Обычный 96 2" xfId="2786"/>
    <cellStyle name="Обычный 96 2 2" xfId="2787"/>
    <cellStyle name="Обычный 96 3" xfId="2788"/>
    <cellStyle name="Обычный 96 4" xfId="2789"/>
    <cellStyle name="Обычный 97" xfId="2790"/>
    <cellStyle name="Обычный 97 2" xfId="2791"/>
    <cellStyle name="Обычный 97 2 2" xfId="2792"/>
    <cellStyle name="Обычный 97 3" xfId="2793"/>
    <cellStyle name="Обычный 97 4" xfId="2794"/>
    <cellStyle name="Обычный 98" xfId="2795"/>
    <cellStyle name="Обычный 98 2" xfId="2796"/>
    <cellStyle name="Обычный 98 2 2" xfId="2797"/>
    <cellStyle name="Обычный 98 3" xfId="2798"/>
    <cellStyle name="Обычный 98 4" xfId="2799"/>
    <cellStyle name="Обычный 99" xfId="2800"/>
    <cellStyle name="Обычный 99 2" xfId="2801"/>
    <cellStyle name="Обычный 99 2 2" xfId="2802"/>
    <cellStyle name="Обычный 99 3" xfId="2803"/>
    <cellStyle name="Обычный 99 4" xfId="2804"/>
    <cellStyle name="Followed Hyperlink" xfId="2805"/>
    <cellStyle name="Плохой" xfId="2806"/>
    <cellStyle name="Плохой 2" xfId="2807"/>
    <cellStyle name="Плохой 3" xfId="2808"/>
    <cellStyle name="Плохой 4" xfId="2809"/>
    <cellStyle name="Пояснение" xfId="2810"/>
    <cellStyle name="Пояснение 2" xfId="2811"/>
    <cellStyle name="Пояснение 3" xfId="2812"/>
    <cellStyle name="Пояснение 4" xfId="2813"/>
    <cellStyle name="Примечание" xfId="2814"/>
    <cellStyle name="Примечание 10" xfId="2815"/>
    <cellStyle name="Примечание 11" xfId="2816"/>
    <cellStyle name="Примечание 12" xfId="2817"/>
    <cellStyle name="Примечание 13" xfId="2818"/>
    <cellStyle name="Примечание 14" xfId="2819"/>
    <cellStyle name="Примечание 15" xfId="2820"/>
    <cellStyle name="Примечание 16" xfId="2821"/>
    <cellStyle name="Примечание 17" xfId="2822"/>
    <cellStyle name="Примечание 18" xfId="2823"/>
    <cellStyle name="Примечание 19" xfId="2824"/>
    <cellStyle name="Примечание 2" xfId="2825"/>
    <cellStyle name="Примечание 2 2" xfId="2826"/>
    <cellStyle name="Примечание 2 2 2" xfId="2827"/>
    <cellStyle name="Примечание 2 3" xfId="2828"/>
    <cellStyle name="Примечание 2 3 2" xfId="2829"/>
    <cellStyle name="Примечание 2 3 3" xfId="2830"/>
    <cellStyle name="Примечание 2 4" xfId="2831"/>
    <cellStyle name="Примечание 2 4 2" xfId="2832"/>
    <cellStyle name="Примечание 2 5" xfId="2833"/>
    <cellStyle name="Примечание 2 6" xfId="2834"/>
    <cellStyle name="Примечание 2_Справочный реестр" xfId="2835"/>
    <cellStyle name="Примечание 20" xfId="2836"/>
    <cellStyle name="Примечание 21" xfId="2837"/>
    <cellStyle name="Примечание 22" xfId="2838"/>
    <cellStyle name="Примечание 3" xfId="2839"/>
    <cellStyle name="Примечание 3 2" xfId="2840"/>
    <cellStyle name="Примечание 3 3" xfId="2841"/>
    <cellStyle name="Примечание 3 4" xfId="2842"/>
    <cellStyle name="Примечание 3 5" xfId="2843"/>
    <cellStyle name="Примечание 3_Справочный реестр" xfId="2844"/>
    <cellStyle name="Примечание 4" xfId="2845"/>
    <cellStyle name="Примечание 4 2" xfId="2846"/>
    <cellStyle name="Примечание 4 2 2" xfId="2847"/>
    <cellStyle name="Примечание 4 3" xfId="2848"/>
    <cellStyle name="Примечание 4 3 2" xfId="2849"/>
    <cellStyle name="Примечание 4 4" xfId="2850"/>
    <cellStyle name="Примечание 4_Справочный реестр" xfId="2851"/>
    <cellStyle name="Примечание 5" xfId="2852"/>
    <cellStyle name="Примечание 5 2" xfId="2853"/>
    <cellStyle name="Примечание 5 2 2" xfId="2854"/>
    <cellStyle name="Примечание 5 3" xfId="2855"/>
    <cellStyle name="Примечание 5 4" xfId="2856"/>
    <cellStyle name="Примечание 5_Справочный реестр" xfId="2857"/>
    <cellStyle name="Примечание 6" xfId="2858"/>
    <cellStyle name="Примечание 6 2" xfId="2859"/>
    <cellStyle name="Примечание 6 3" xfId="2860"/>
    <cellStyle name="Примечание 6 4" xfId="2861"/>
    <cellStyle name="Примечание 7" xfId="2862"/>
    <cellStyle name="Примечание 7 2" xfId="2863"/>
    <cellStyle name="Примечание 7 3" xfId="2864"/>
    <cellStyle name="Примечание 8" xfId="2865"/>
    <cellStyle name="Примечание 8 2" xfId="2866"/>
    <cellStyle name="Примечание 8 3" xfId="2867"/>
    <cellStyle name="Примечание 9" xfId="2868"/>
    <cellStyle name="Примечание 9 2" xfId="2869"/>
    <cellStyle name="Percent" xfId="2870"/>
    <cellStyle name="Процентный 2" xfId="2871"/>
    <cellStyle name="Процентный 2 2" xfId="2872"/>
    <cellStyle name="Процентный 2 2 2" xfId="2873"/>
    <cellStyle name="Процентный 2 3" xfId="2874"/>
    <cellStyle name="Процентный 2 3 2" xfId="2875"/>
    <cellStyle name="Процентный 2 4" xfId="2876"/>
    <cellStyle name="Процентный 2 4 2" xfId="2877"/>
    <cellStyle name="Процентный 2 5" xfId="2878"/>
    <cellStyle name="Процентный 2 6" xfId="2879"/>
    <cellStyle name="Процентный 3" xfId="2880"/>
    <cellStyle name="Процентный 3 2" xfId="2881"/>
    <cellStyle name="Процентный 3 3" xfId="2882"/>
    <cellStyle name="Процентный 3 6" xfId="2883"/>
    <cellStyle name="Процентный 4" xfId="2884"/>
    <cellStyle name="Процентный 4 2" xfId="2885"/>
    <cellStyle name="Процентный 4 3" xfId="2886"/>
    <cellStyle name="Процентный 4 4" xfId="2887"/>
    <cellStyle name="Процентный 5" xfId="2888"/>
    <cellStyle name="Процентный 6" xfId="2889"/>
    <cellStyle name="Проценты" xfId="2890"/>
    <cellStyle name="Связанная ячейка" xfId="2891"/>
    <cellStyle name="Связанная ячейка 2" xfId="2892"/>
    <cellStyle name="Связанная ячейка 3" xfId="2893"/>
    <cellStyle name="Связанная ячейка 4" xfId="2894"/>
    <cellStyle name="Текст предупреждения" xfId="2895"/>
    <cellStyle name="Текст предупреждения 2" xfId="2896"/>
    <cellStyle name="Текст предупреждения 3" xfId="2897"/>
    <cellStyle name="Текст предупреждения 4" xfId="2898"/>
    <cellStyle name="Тысяч человек" xfId="2899"/>
    <cellStyle name="Тысячи [0]_перечис.11" xfId="2900"/>
    <cellStyle name="Тысячи_перечис.11" xfId="2901"/>
    <cellStyle name="Comma" xfId="2902"/>
    <cellStyle name="Comma [0]" xfId="2903"/>
    <cellStyle name="Финансовый 10" xfId="2904"/>
    <cellStyle name="Финансовый 11" xfId="2905"/>
    <cellStyle name="Финансовый 12" xfId="2906"/>
    <cellStyle name="Финансовый 13" xfId="2907"/>
    <cellStyle name="Финансовый 14" xfId="2908"/>
    <cellStyle name="Финансовый 15" xfId="2909"/>
    <cellStyle name="Финансовый 16" xfId="2910"/>
    <cellStyle name="Финансовый 17" xfId="2911"/>
    <cellStyle name="Финансовый 18" xfId="2912"/>
    <cellStyle name="Финансовый 19" xfId="2913"/>
    <cellStyle name="Финансовый 2" xfId="2914"/>
    <cellStyle name="Финансовый 2 10" xfId="2915"/>
    <cellStyle name="Финансовый 2 11" xfId="2916"/>
    <cellStyle name="Финансовый 2 2" xfId="2917"/>
    <cellStyle name="Финансовый 2 2 2" xfId="2918"/>
    <cellStyle name="Финансовый 2 2 2 2" xfId="2919"/>
    <cellStyle name="Финансовый 2 2 2 2 2" xfId="2920"/>
    <cellStyle name="Финансовый 2 2 2 2 2 2" xfId="2921"/>
    <cellStyle name="Финансовый 2 2 2 2 2 2 2" xfId="2922"/>
    <cellStyle name="Финансовый 2 2 2 2 2 3" xfId="2923"/>
    <cellStyle name="Финансовый 2 2 2 2 3" xfId="2924"/>
    <cellStyle name="Финансовый 2 2 2 2 3 2" xfId="2925"/>
    <cellStyle name="Финансовый 2 2 2 2 4" xfId="2926"/>
    <cellStyle name="Финансовый 2 2 2 3" xfId="2927"/>
    <cellStyle name="Финансовый 2 2 2 3 2" xfId="2928"/>
    <cellStyle name="Финансовый 2 2 2 3 2 2" xfId="2929"/>
    <cellStyle name="Финансовый 2 2 2 3 2 2 2" xfId="2930"/>
    <cellStyle name="Финансовый 2 2 2 3 2 3" xfId="2931"/>
    <cellStyle name="Финансовый 2 2 2 3 3" xfId="2932"/>
    <cellStyle name="Финансовый 2 2 2 3 3 2" xfId="2933"/>
    <cellStyle name="Финансовый 2 2 2 3 4" xfId="2934"/>
    <cellStyle name="Финансовый 2 2 2 4" xfId="2935"/>
    <cellStyle name="Финансовый 2 2 2 4 2" xfId="2936"/>
    <cellStyle name="Финансовый 2 2 2 4 2 2" xfId="2937"/>
    <cellStyle name="Финансовый 2 2 2 4 2 2 2" xfId="2938"/>
    <cellStyle name="Финансовый 2 2 2 4 2 3" xfId="2939"/>
    <cellStyle name="Финансовый 2 2 2 4 3" xfId="2940"/>
    <cellStyle name="Финансовый 2 2 2 4 3 2" xfId="2941"/>
    <cellStyle name="Финансовый 2 2 2 4 4" xfId="2942"/>
    <cellStyle name="Финансовый 2 2 2 5" xfId="2943"/>
    <cellStyle name="Финансовый 2 2 2 5 2" xfId="2944"/>
    <cellStyle name="Финансовый 2 2 2 5 2 2" xfId="2945"/>
    <cellStyle name="Финансовый 2 2 2 5 3" xfId="2946"/>
    <cellStyle name="Финансовый 2 2 2 6" xfId="2947"/>
    <cellStyle name="Финансовый 2 2 2 6 2" xfId="2948"/>
    <cellStyle name="Финансовый 2 2 2 6 2 2" xfId="2949"/>
    <cellStyle name="Финансовый 2 2 2 6 3" xfId="2950"/>
    <cellStyle name="Финансовый 2 2 2 7" xfId="2951"/>
    <cellStyle name="Финансовый 2 2 2 7 2" xfId="2952"/>
    <cellStyle name="Финансовый 2 2 2 8" xfId="2953"/>
    <cellStyle name="Финансовый 2 2 2 9" xfId="2954"/>
    <cellStyle name="Финансовый 2 2 3" xfId="2955"/>
    <cellStyle name="Финансовый 2 2 3 2" xfId="2956"/>
    <cellStyle name="Финансовый 2 2 3 2 2" xfId="2957"/>
    <cellStyle name="Финансовый 2 2 3 2 2 2" xfId="2958"/>
    <cellStyle name="Финансовый 2 2 3 2 3" xfId="2959"/>
    <cellStyle name="Финансовый 2 2 3 3" xfId="2960"/>
    <cellStyle name="Финансовый 2 2 3 3 2" xfId="2961"/>
    <cellStyle name="Финансовый 2 2 3 4" xfId="2962"/>
    <cellStyle name="Финансовый 2 2 4" xfId="2963"/>
    <cellStyle name="Финансовый 2 2 4 2" xfId="2964"/>
    <cellStyle name="Финансовый 2 2 4 2 2" xfId="2965"/>
    <cellStyle name="Финансовый 2 2 4 3" xfId="2966"/>
    <cellStyle name="Финансовый 2 2 5" xfId="2967"/>
    <cellStyle name="Финансовый 2 2 5 2" xfId="2968"/>
    <cellStyle name="Финансовый 2 2 6" xfId="2969"/>
    <cellStyle name="Финансовый 2 3" xfId="2970"/>
    <cellStyle name="Финансовый 2 3 2" xfId="2971"/>
    <cellStyle name="Финансовый 2 3 2 2" xfId="2972"/>
    <cellStyle name="Финансовый 2 3 2 2 2" xfId="2973"/>
    <cellStyle name="Финансовый 2 3 2 2 2 2" xfId="2974"/>
    <cellStyle name="Финансовый 2 3 2 2 3" xfId="2975"/>
    <cellStyle name="Финансовый 2 3 2 3" xfId="2976"/>
    <cellStyle name="Финансовый 2 3 2 3 2" xfId="2977"/>
    <cellStyle name="Финансовый 2 3 2 4" xfId="2978"/>
    <cellStyle name="Финансовый 2 3 3" xfId="2979"/>
    <cellStyle name="Финансовый 2 3 3 2" xfId="2980"/>
    <cellStyle name="Финансовый 2 3 3 2 2" xfId="2981"/>
    <cellStyle name="Финансовый 2 3 3 3" xfId="2982"/>
    <cellStyle name="Финансовый 2 3 4" xfId="2983"/>
    <cellStyle name="Финансовый 2 3 4 2" xfId="2984"/>
    <cellStyle name="Финансовый 2 3 5" xfId="2985"/>
    <cellStyle name="Финансовый 2 3 6" xfId="2986"/>
    <cellStyle name="Финансовый 2 4" xfId="2987"/>
    <cellStyle name="Финансовый 2 4 2" xfId="2988"/>
    <cellStyle name="Финансовый 2 4 2 2" xfId="2989"/>
    <cellStyle name="Финансовый 2 4 2 2 2" xfId="2990"/>
    <cellStyle name="Финансовый 2 4 2 3" xfId="2991"/>
    <cellStyle name="Финансовый 2 4 3" xfId="2992"/>
    <cellStyle name="Финансовый 2 4 3 2" xfId="2993"/>
    <cellStyle name="Финансовый 2 4 4" xfId="2994"/>
    <cellStyle name="Финансовый 2 4 5" xfId="2995"/>
    <cellStyle name="Финансовый 2 5" xfId="2996"/>
    <cellStyle name="Финансовый 2 5 2" xfId="2997"/>
    <cellStyle name="Финансовый 2 5 2 2" xfId="2998"/>
    <cellStyle name="Финансовый 2 5 2 2 2" xfId="2999"/>
    <cellStyle name="Финансовый 2 5 2 3" xfId="3000"/>
    <cellStyle name="Финансовый 2 5 3" xfId="3001"/>
    <cellStyle name="Финансовый 2 5 3 2" xfId="3002"/>
    <cellStyle name="Финансовый 2 5 4" xfId="3003"/>
    <cellStyle name="Финансовый 2 5 5" xfId="3004"/>
    <cellStyle name="Финансовый 2 6" xfId="3005"/>
    <cellStyle name="Финансовый 2 6 2" xfId="3006"/>
    <cellStyle name="Финансовый 2 6 2 2" xfId="3007"/>
    <cellStyle name="Финансовый 2 6 2 2 2" xfId="3008"/>
    <cellStyle name="Финансовый 2 6 2 3" xfId="3009"/>
    <cellStyle name="Финансовый 2 6 3" xfId="3010"/>
    <cellStyle name="Финансовый 2 6 3 2" xfId="3011"/>
    <cellStyle name="Финансовый 2 6 4" xfId="3012"/>
    <cellStyle name="Финансовый 2 7" xfId="3013"/>
    <cellStyle name="Финансовый 2 7 2" xfId="3014"/>
    <cellStyle name="Финансовый 2 7 2 2" xfId="3015"/>
    <cellStyle name="Финансовый 2 7 3" xfId="3016"/>
    <cellStyle name="Финансовый 2 8" xfId="3017"/>
    <cellStyle name="Финансовый 2 8 2" xfId="3018"/>
    <cellStyle name="Финансовый 2 8 2 2" xfId="3019"/>
    <cellStyle name="Финансовый 2 8 3" xfId="3020"/>
    <cellStyle name="Финансовый 2 9" xfId="3021"/>
    <cellStyle name="Финансовый 2 9 2" xfId="3022"/>
    <cellStyle name="Финансовый 20" xfId="3023"/>
    <cellStyle name="Финансовый 21" xfId="3024"/>
    <cellStyle name="Финансовый 22" xfId="3025"/>
    <cellStyle name="Финансовый 23" xfId="3026"/>
    <cellStyle name="Финансовый 24" xfId="3027"/>
    <cellStyle name="Финансовый 25" xfId="3028"/>
    <cellStyle name="Финансовый 26" xfId="3029"/>
    <cellStyle name="Финансовый 27" xfId="3030"/>
    <cellStyle name="Финансовый 28" xfId="3031"/>
    <cellStyle name="Финансовый 29" xfId="3032"/>
    <cellStyle name="Финансовый 3" xfId="3033"/>
    <cellStyle name="Финансовый 3 2" xfId="3034"/>
    <cellStyle name="Финансовый 30" xfId="3035"/>
    <cellStyle name="Финансовый 31" xfId="3036"/>
    <cellStyle name="Финансовый 32" xfId="3037"/>
    <cellStyle name="Финансовый 33" xfId="3038"/>
    <cellStyle name="Финансовый 4" xfId="3039"/>
    <cellStyle name="Финансовый 4 2" xfId="3040"/>
    <cellStyle name="Финансовый 4 3" xfId="3041"/>
    <cellStyle name="Финансовый 4 4" xfId="3042"/>
    <cellStyle name="Финансовый 4 5" xfId="3043"/>
    <cellStyle name="Финансовый 5" xfId="3044"/>
    <cellStyle name="Финансовый 5 2" xfId="3045"/>
    <cellStyle name="Финансовый 5 3" xfId="3046"/>
    <cellStyle name="Финансовый 5 4" xfId="3047"/>
    <cellStyle name="Финансовый 5 5" xfId="3048"/>
    <cellStyle name="Финансовый 6" xfId="3049"/>
    <cellStyle name="Финансовый 7" xfId="3050"/>
    <cellStyle name="Финансовый 8" xfId="3051"/>
    <cellStyle name="Финансовый 9" xfId="3052"/>
    <cellStyle name="Хороший" xfId="3053"/>
    <cellStyle name="Хороший 2" xfId="3054"/>
    <cellStyle name="Хороший 3" xfId="3055"/>
    <cellStyle name="Хороший 4" xfId="30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571"/>
  <sheetViews>
    <sheetView view="pageBreakPreview" zoomScale="90" zoomScaleSheetLayoutView="90" zoomScalePageLayoutView="0" workbookViewId="0" topLeftCell="A1">
      <selection activeCell="C29" sqref="C29"/>
    </sheetView>
  </sheetViews>
  <sheetFormatPr defaultColWidth="9.140625" defaultRowHeight="12.75"/>
  <cols>
    <col min="1" max="1" width="51.00390625" style="231" customWidth="1"/>
    <col min="2" max="2" width="12.57421875" style="231" customWidth="1"/>
    <col min="3" max="3" width="18.00390625" style="316" customWidth="1"/>
    <col min="4" max="4" width="14.00390625" style="316" customWidth="1"/>
    <col min="5" max="5" width="13.7109375" style="317" customWidth="1"/>
    <col min="6" max="7" width="12.28125" style="231" bestFit="1" customWidth="1"/>
    <col min="8" max="8" width="10.421875" style="231" bestFit="1" customWidth="1"/>
    <col min="9" max="16" width="9.140625" style="231" customWidth="1"/>
    <col min="17" max="17" width="11.421875" style="231" customWidth="1"/>
    <col min="18" max="16384" width="9.140625" style="231" customWidth="1"/>
  </cols>
  <sheetData>
    <row r="1" spans="3:5" ht="18.75" customHeight="1">
      <c r="C1" s="608" t="s">
        <v>112</v>
      </c>
      <c r="D1" s="608"/>
      <c r="E1" s="608"/>
    </row>
    <row r="2" spans="3:5" ht="18.75" customHeight="1">
      <c r="C2" s="608" t="s">
        <v>113</v>
      </c>
      <c r="D2" s="608"/>
      <c r="E2" s="608"/>
    </row>
    <row r="3" spans="3:5" ht="21" customHeight="1">
      <c r="C3" s="608" t="s">
        <v>511</v>
      </c>
      <c r="D3" s="608"/>
      <c r="E3" s="608"/>
    </row>
    <row r="4" spans="3:5" ht="21" customHeight="1">
      <c r="C4" s="620"/>
      <c r="D4" s="620"/>
      <c r="E4" s="620"/>
    </row>
    <row r="5" spans="1:5" ht="42" customHeight="1">
      <c r="A5" s="621" t="s">
        <v>361</v>
      </c>
      <c r="B5" s="621"/>
      <c r="C5" s="621"/>
      <c r="D5" s="621"/>
      <c r="E5" s="621"/>
    </row>
    <row r="6" spans="1:5" ht="23.25" customHeight="1">
      <c r="A6" s="425"/>
      <c r="B6" s="425"/>
      <c r="C6" s="425"/>
      <c r="D6" s="425"/>
      <c r="E6" s="471" t="s">
        <v>301</v>
      </c>
    </row>
    <row r="7" spans="1:5" ht="21.75" customHeight="1">
      <c r="A7" s="609" t="s">
        <v>303</v>
      </c>
      <c r="B7" s="609"/>
      <c r="C7" s="609"/>
      <c r="D7" s="609"/>
      <c r="E7" s="609"/>
    </row>
    <row r="8" spans="1:5" ht="12" customHeight="1" thickBot="1">
      <c r="A8" s="619"/>
      <c r="B8" s="619"/>
      <c r="C8" s="619"/>
      <c r="D8" s="619"/>
      <c r="E8" s="619"/>
    </row>
    <row r="9" spans="1:5" ht="20.25" customHeight="1">
      <c r="A9" s="610" t="s">
        <v>4</v>
      </c>
      <c r="B9" s="613" t="s">
        <v>109</v>
      </c>
      <c r="C9" s="622" t="s">
        <v>198</v>
      </c>
      <c r="D9" s="622"/>
      <c r="E9" s="623"/>
    </row>
    <row r="10" spans="1:5" ht="25.5" customHeight="1">
      <c r="A10" s="611"/>
      <c r="B10" s="614"/>
      <c r="C10" s="624" t="s">
        <v>199</v>
      </c>
      <c r="D10" s="599" t="s">
        <v>45</v>
      </c>
      <c r="E10" s="606" t="s">
        <v>46</v>
      </c>
    </row>
    <row r="11" spans="1:5" ht="18" customHeight="1" thickBot="1">
      <c r="A11" s="612"/>
      <c r="B11" s="615"/>
      <c r="C11" s="625"/>
      <c r="D11" s="600"/>
      <c r="E11" s="607"/>
    </row>
    <row r="12" spans="1:5" ht="21" customHeight="1" thickBot="1">
      <c r="A12" s="597" t="s">
        <v>254</v>
      </c>
      <c r="B12" s="598"/>
      <c r="C12" s="598"/>
      <c r="D12" s="598"/>
      <c r="E12" s="598"/>
    </row>
    <row r="13" spans="1:17" ht="16.5" customHeight="1">
      <c r="A13" s="299" t="s">
        <v>410</v>
      </c>
      <c r="B13" s="298">
        <f>ROUND(C13+D13+E13*2.9,0)</f>
        <v>23207</v>
      </c>
      <c r="C13" s="503">
        <v>4745</v>
      </c>
      <c r="D13" s="482">
        <v>894</v>
      </c>
      <c r="E13" s="483">
        <v>6058</v>
      </c>
      <c r="O13" s="232"/>
      <c r="P13" s="232"/>
      <c r="Q13" s="232"/>
    </row>
    <row r="14" spans="1:17" s="525" customFormat="1" ht="16.5" customHeight="1">
      <c r="A14" s="533" t="s">
        <v>444</v>
      </c>
      <c r="B14" s="522">
        <f>ROUND(C14+D14+E14*2.9,0)</f>
        <v>1151</v>
      </c>
      <c r="C14" s="534">
        <f>'1.2. Диспансерное наблюдение'!E9</f>
        <v>1151</v>
      </c>
      <c r="D14" s="523"/>
      <c r="E14" s="524"/>
      <c r="G14" s="231"/>
      <c r="O14" s="526"/>
      <c r="P14" s="526"/>
      <c r="Q14" s="526"/>
    </row>
    <row r="15" spans="1:17" ht="16.5" customHeight="1">
      <c r="A15" s="300" t="s">
        <v>47</v>
      </c>
      <c r="B15" s="246">
        <f aca="true" t="shared" si="0" ref="B15:B24">ROUND(C15+D15+E15*2.9,0)</f>
        <v>12489</v>
      </c>
      <c r="C15" s="382">
        <v>3096</v>
      </c>
      <c r="D15" s="370">
        <v>484</v>
      </c>
      <c r="E15" s="371">
        <v>3072</v>
      </c>
      <c r="I15" s="363"/>
      <c r="O15" s="232"/>
      <c r="P15" s="232"/>
      <c r="Q15" s="232"/>
    </row>
    <row r="16" spans="1:17" ht="16.5" customHeight="1">
      <c r="A16" s="235" t="s">
        <v>413</v>
      </c>
      <c r="B16" s="246">
        <f t="shared" si="0"/>
        <v>3727</v>
      </c>
      <c r="C16" s="382">
        <v>925</v>
      </c>
      <c r="D16" s="370">
        <v>50</v>
      </c>
      <c r="E16" s="371">
        <v>949</v>
      </c>
      <c r="I16" s="363"/>
      <c r="O16" s="232"/>
      <c r="P16" s="232"/>
      <c r="Q16" s="232"/>
    </row>
    <row r="17" spans="1:17" ht="16.5" customHeight="1">
      <c r="A17" s="533" t="s">
        <v>444</v>
      </c>
      <c r="B17" s="522">
        <f t="shared" si="0"/>
        <v>90</v>
      </c>
      <c r="C17" s="534">
        <f>'1.2. Диспансерное наблюдение'!E12</f>
        <v>90</v>
      </c>
      <c r="D17" s="523"/>
      <c r="E17" s="524"/>
      <c r="I17" s="363"/>
      <c r="O17" s="232"/>
      <c r="P17" s="232"/>
      <c r="Q17" s="232"/>
    </row>
    <row r="18" spans="1:17" ht="16.5" customHeight="1">
      <c r="A18" s="234" t="s">
        <v>40</v>
      </c>
      <c r="B18" s="246">
        <f t="shared" si="0"/>
        <v>586</v>
      </c>
      <c r="C18" s="369">
        <v>395</v>
      </c>
      <c r="D18" s="370">
        <v>0</v>
      </c>
      <c r="E18" s="371">
        <v>66</v>
      </c>
      <c r="I18" s="363"/>
      <c r="O18" s="232"/>
      <c r="P18" s="232"/>
      <c r="Q18" s="232"/>
    </row>
    <row r="19" spans="1:17" ht="16.5" customHeight="1">
      <c r="A19" s="235" t="s">
        <v>8</v>
      </c>
      <c r="B19" s="233">
        <f t="shared" si="0"/>
        <v>462</v>
      </c>
      <c r="C19" s="369">
        <v>215</v>
      </c>
      <c r="D19" s="370">
        <v>0</v>
      </c>
      <c r="E19" s="371">
        <v>85</v>
      </c>
      <c r="I19" s="363"/>
      <c r="O19" s="232"/>
      <c r="P19" s="232"/>
      <c r="Q19" s="232"/>
    </row>
    <row r="20" spans="1:17" ht="16.5" customHeight="1">
      <c r="A20" s="236" t="s">
        <v>77</v>
      </c>
      <c r="B20" s="233">
        <f t="shared" si="0"/>
        <v>0</v>
      </c>
      <c r="C20" s="369"/>
      <c r="D20" s="484"/>
      <c r="E20" s="485"/>
      <c r="I20" s="363"/>
      <c r="O20" s="232"/>
      <c r="P20" s="232"/>
      <c r="Q20" s="232"/>
    </row>
    <row r="21" spans="1:17" ht="16.5" customHeight="1">
      <c r="A21" s="236" t="s">
        <v>9</v>
      </c>
      <c r="B21" s="233">
        <f t="shared" si="0"/>
        <v>1975</v>
      </c>
      <c r="C21" s="369">
        <v>490</v>
      </c>
      <c r="D21" s="484">
        <v>0</v>
      </c>
      <c r="E21" s="485">
        <v>512</v>
      </c>
      <c r="I21" s="363"/>
      <c r="O21" s="232"/>
      <c r="P21" s="232"/>
      <c r="Q21" s="232"/>
    </row>
    <row r="22" spans="1:17" ht="16.5" customHeight="1">
      <c r="A22" s="236" t="s">
        <v>412</v>
      </c>
      <c r="B22" s="233">
        <f t="shared" si="0"/>
        <v>6342</v>
      </c>
      <c r="C22" s="369">
        <v>1573</v>
      </c>
      <c r="D22" s="484">
        <v>245</v>
      </c>
      <c r="E22" s="485">
        <v>1560</v>
      </c>
      <c r="I22" s="363"/>
      <c r="O22" s="232"/>
      <c r="P22" s="232"/>
      <c r="Q22" s="232"/>
    </row>
    <row r="23" spans="1:17" s="538" customFormat="1" ht="16.5" customHeight="1">
      <c r="A23" s="533" t="s">
        <v>444</v>
      </c>
      <c r="B23" s="522">
        <f t="shared" si="0"/>
        <v>438</v>
      </c>
      <c r="C23" s="535">
        <f>'1.2. Диспансерное наблюдение'!E11</f>
        <v>438</v>
      </c>
      <c r="D23" s="536"/>
      <c r="E23" s="537"/>
      <c r="G23" s="231"/>
      <c r="I23" s="539"/>
      <c r="O23" s="362"/>
      <c r="P23" s="362"/>
      <c r="Q23" s="362"/>
    </row>
    <row r="24" spans="1:17" ht="16.5" customHeight="1">
      <c r="A24" s="237" t="s">
        <v>10</v>
      </c>
      <c r="B24" s="233">
        <f t="shared" si="0"/>
        <v>987</v>
      </c>
      <c r="C24" s="369">
        <v>245</v>
      </c>
      <c r="D24" s="484">
        <v>0</v>
      </c>
      <c r="E24" s="485">
        <v>256</v>
      </c>
      <c r="I24" s="363"/>
      <c r="O24" s="232"/>
      <c r="P24" s="232"/>
      <c r="Q24" s="232"/>
    </row>
    <row r="25" spans="1:17" ht="16.5" customHeight="1">
      <c r="A25" s="245" t="s">
        <v>382</v>
      </c>
      <c r="B25" s="233">
        <f>ROUND(C25+D25+E25*2.9,0)</f>
        <v>74113</v>
      </c>
      <c r="C25" s="369">
        <v>18379</v>
      </c>
      <c r="D25" s="484">
        <v>3198</v>
      </c>
      <c r="E25" s="485">
        <v>18116</v>
      </c>
      <c r="F25" s="232"/>
      <c r="H25" s="232"/>
      <c r="I25" s="363"/>
      <c r="O25" s="232"/>
      <c r="P25" s="232"/>
      <c r="Q25" s="232"/>
    </row>
    <row r="26" spans="1:17" ht="30">
      <c r="A26" s="270" t="s">
        <v>421</v>
      </c>
      <c r="B26" s="271">
        <f aca="true" t="shared" si="1" ref="B26:B45">ROUND(C26+D26+E26*2.9,0)</f>
        <v>7834</v>
      </c>
      <c r="C26" s="375">
        <f>SUM(C27:C29)</f>
        <v>7834</v>
      </c>
      <c r="D26" s="376"/>
      <c r="E26" s="377"/>
      <c r="I26" s="363"/>
      <c r="O26" s="232"/>
      <c r="P26" s="232"/>
      <c r="Q26" s="232"/>
    </row>
    <row r="27" spans="1:17" ht="30">
      <c r="A27" s="270" t="s">
        <v>148</v>
      </c>
      <c r="B27" s="271">
        <f t="shared" si="1"/>
        <v>116</v>
      </c>
      <c r="C27" s="375">
        <f>'1.1. ПРОФ.МЕРОПРИЯТИЯ'!C12</f>
        <v>116</v>
      </c>
      <c r="D27" s="376"/>
      <c r="E27" s="377"/>
      <c r="I27" s="363"/>
      <c r="O27" s="232"/>
      <c r="P27" s="232"/>
      <c r="Q27" s="232"/>
    </row>
    <row r="28" spans="1:17" ht="29.25" customHeight="1">
      <c r="A28" s="270" t="s">
        <v>149</v>
      </c>
      <c r="B28" s="271">
        <f t="shared" si="1"/>
        <v>184</v>
      </c>
      <c r="C28" s="375">
        <f>'1.1. ПРОФ.МЕРОПРИЯТИЯ'!D12</f>
        <v>184</v>
      </c>
      <c r="D28" s="376"/>
      <c r="E28" s="377"/>
      <c r="I28" s="363"/>
      <c r="O28" s="232"/>
      <c r="P28" s="232"/>
      <c r="Q28" s="232"/>
    </row>
    <row r="29" spans="1:17" ht="28.5" customHeight="1">
      <c r="A29" s="270" t="s">
        <v>150</v>
      </c>
      <c r="B29" s="271">
        <f t="shared" si="1"/>
        <v>7534</v>
      </c>
      <c r="C29" s="375">
        <f>'1.1. ПРОФ.МЕРОПРИЯТИЯ'!H12</f>
        <v>7534</v>
      </c>
      <c r="D29" s="376"/>
      <c r="E29" s="377"/>
      <c r="I29" s="363"/>
      <c r="O29" s="232"/>
      <c r="P29" s="232"/>
      <c r="Q29" s="232"/>
    </row>
    <row r="30" spans="1:17" ht="17.25" customHeight="1">
      <c r="A30" s="236" t="s">
        <v>11</v>
      </c>
      <c r="B30" s="233">
        <f t="shared" si="1"/>
        <v>989</v>
      </c>
      <c r="C30" s="369">
        <v>600</v>
      </c>
      <c r="D30" s="484">
        <v>0</v>
      </c>
      <c r="E30" s="485">
        <v>134</v>
      </c>
      <c r="I30" s="363"/>
      <c r="O30" s="232"/>
      <c r="P30" s="232"/>
      <c r="Q30" s="232"/>
    </row>
    <row r="31" spans="1:17" ht="17.25" customHeight="1">
      <c r="A31" s="236" t="s">
        <v>5</v>
      </c>
      <c r="B31" s="233">
        <f t="shared" si="1"/>
        <v>5610</v>
      </c>
      <c r="C31" s="369">
        <v>1391</v>
      </c>
      <c r="D31" s="484">
        <v>104</v>
      </c>
      <c r="E31" s="485">
        <v>1419</v>
      </c>
      <c r="I31" s="363"/>
      <c r="O31" s="232"/>
      <c r="P31" s="232"/>
      <c r="Q31" s="232"/>
    </row>
    <row r="32" spans="1:17" ht="17.25" customHeight="1">
      <c r="A32" s="533" t="s">
        <v>377</v>
      </c>
      <c r="B32" s="522">
        <f>ROUND(C32+D32+E32*2.9,0)</f>
        <v>336</v>
      </c>
      <c r="C32" s="535">
        <f>'1.2. Диспансерное наблюдение'!E21</f>
        <v>336</v>
      </c>
      <c r="D32" s="536"/>
      <c r="E32" s="537"/>
      <c r="I32" s="363"/>
      <c r="O32" s="232"/>
      <c r="P32" s="232"/>
      <c r="Q32" s="232"/>
    </row>
    <row r="33" spans="1:17" ht="17.25" customHeight="1">
      <c r="A33" s="237" t="s">
        <v>111</v>
      </c>
      <c r="B33" s="233">
        <f t="shared" si="1"/>
        <v>987</v>
      </c>
      <c r="C33" s="369">
        <v>245</v>
      </c>
      <c r="D33" s="484">
        <v>0</v>
      </c>
      <c r="E33" s="485">
        <v>256</v>
      </c>
      <c r="I33" s="363"/>
      <c r="O33" s="232"/>
      <c r="P33" s="232"/>
      <c r="Q33" s="232"/>
    </row>
    <row r="34" spans="1:17" ht="17.25" customHeight="1">
      <c r="A34" s="236" t="s">
        <v>414</v>
      </c>
      <c r="B34" s="233">
        <f>ROUND(C34+D34+E34*2.9,0)</f>
        <v>15991</v>
      </c>
      <c r="C34" s="369">
        <v>3963</v>
      </c>
      <c r="D34" s="484">
        <v>616</v>
      </c>
      <c r="E34" s="485">
        <v>3935</v>
      </c>
      <c r="H34" s="232"/>
      <c r="I34" s="363"/>
      <c r="O34" s="232"/>
      <c r="P34" s="232"/>
      <c r="Q34" s="232"/>
    </row>
    <row r="35" spans="1:17" ht="17.25" customHeight="1">
      <c r="A35" s="533" t="s">
        <v>444</v>
      </c>
      <c r="B35" s="522">
        <f t="shared" si="1"/>
        <v>1443</v>
      </c>
      <c r="C35" s="535">
        <f>'1.2. Диспансерное наблюдение'!E13</f>
        <v>1443</v>
      </c>
      <c r="D35" s="536"/>
      <c r="E35" s="537"/>
      <c r="H35" s="232"/>
      <c r="I35" s="363"/>
      <c r="O35" s="232"/>
      <c r="P35" s="232"/>
      <c r="Q35" s="232"/>
    </row>
    <row r="36" spans="1:17" ht="17.25" customHeight="1">
      <c r="A36" s="236" t="s">
        <v>420</v>
      </c>
      <c r="B36" s="233">
        <f t="shared" si="1"/>
        <v>27129</v>
      </c>
      <c r="C36" s="369">
        <v>6724</v>
      </c>
      <c r="D36" s="484">
        <v>1050</v>
      </c>
      <c r="E36" s="485">
        <v>6674</v>
      </c>
      <c r="H36" s="232"/>
      <c r="I36" s="363"/>
      <c r="O36" s="232"/>
      <c r="P36" s="232"/>
      <c r="Q36" s="232"/>
    </row>
    <row r="37" spans="1:17" ht="17.25" customHeight="1">
      <c r="A37" s="533" t="s">
        <v>444</v>
      </c>
      <c r="B37" s="522">
        <f>ROUND(C37+D37+E37*2.9,0)</f>
        <v>635</v>
      </c>
      <c r="C37" s="535">
        <f>'1.2. Диспансерное наблюдение'!E20</f>
        <v>635</v>
      </c>
      <c r="D37" s="536"/>
      <c r="E37" s="537"/>
      <c r="H37" s="232"/>
      <c r="I37" s="363"/>
      <c r="O37" s="232"/>
      <c r="P37" s="232"/>
      <c r="Q37" s="232"/>
    </row>
    <row r="38" spans="1:17" ht="17.25" customHeight="1">
      <c r="A38" s="237" t="s">
        <v>418</v>
      </c>
      <c r="B38" s="233">
        <f t="shared" si="1"/>
        <v>6033</v>
      </c>
      <c r="C38" s="369">
        <v>1496</v>
      </c>
      <c r="D38" s="484">
        <v>233</v>
      </c>
      <c r="E38" s="485">
        <v>1484</v>
      </c>
      <c r="H38" s="232"/>
      <c r="I38" s="363"/>
      <c r="O38" s="232"/>
      <c r="P38" s="232"/>
      <c r="Q38" s="232"/>
    </row>
    <row r="39" spans="1:17" ht="17.25" customHeight="1">
      <c r="A39" s="533" t="s">
        <v>444</v>
      </c>
      <c r="B39" s="522">
        <f t="shared" si="1"/>
        <v>36</v>
      </c>
      <c r="C39" s="535">
        <f>'1.2. Диспансерное наблюдение'!E18</f>
        <v>36</v>
      </c>
      <c r="D39" s="484"/>
      <c r="E39" s="485"/>
      <c r="H39" s="232"/>
      <c r="I39" s="363"/>
      <c r="O39" s="232"/>
      <c r="P39" s="232"/>
      <c r="Q39" s="232"/>
    </row>
    <row r="40" spans="1:17" ht="17.25" customHeight="1">
      <c r="A40" s="237" t="s">
        <v>383</v>
      </c>
      <c r="B40" s="233">
        <f t="shared" si="1"/>
        <v>82348</v>
      </c>
      <c r="C40" s="369">
        <v>25764</v>
      </c>
      <c r="D40" s="484">
        <v>3178</v>
      </c>
      <c r="E40" s="485">
        <v>18416</v>
      </c>
      <c r="F40" s="232"/>
      <c r="H40" s="232"/>
      <c r="I40" s="363"/>
      <c r="O40" s="232"/>
      <c r="P40" s="232"/>
      <c r="Q40" s="232"/>
    </row>
    <row r="41" spans="1:17" ht="34.5" customHeight="1">
      <c r="A41" s="270" t="s">
        <v>421</v>
      </c>
      <c r="B41" s="271">
        <f t="shared" si="1"/>
        <v>16820</v>
      </c>
      <c r="C41" s="375">
        <f>C42+C44</f>
        <v>16820</v>
      </c>
      <c r="D41" s="376">
        <v>0</v>
      </c>
      <c r="E41" s="377">
        <v>0</v>
      </c>
      <c r="I41" s="363"/>
      <c r="O41" s="232"/>
      <c r="P41" s="232"/>
      <c r="Q41" s="232"/>
    </row>
    <row r="42" spans="1:17" ht="30">
      <c r="A42" s="270" t="s">
        <v>385</v>
      </c>
      <c r="B42" s="271">
        <f t="shared" si="1"/>
        <v>13788</v>
      </c>
      <c r="C42" s="375">
        <f>'1.1. ПРОФ.МЕРОПРИЯТИЯ'!E12</f>
        <v>13788</v>
      </c>
      <c r="D42" s="376"/>
      <c r="E42" s="377"/>
      <c r="I42" s="363"/>
      <c r="O42" s="232"/>
      <c r="P42" s="232"/>
      <c r="Q42" s="232"/>
    </row>
    <row r="43" spans="1:17" ht="15">
      <c r="A43" s="270" t="s">
        <v>384</v>
      </c>
      <c r="B43" s="271">
        <f t="shared" si="1"/>
        <v>946</v>
      </c>
      <c r="C43" s="375">
        <f>'1.1. ПРОФ.МЕРОПРИЯТИЯ'!F12</f>
        <v>946</v>
      </c>
      <c r="D43" s="376"/>
      <c r="E43" s="377"/>
      <c r="I43" s="363"/>
      <c r="O43" s="232"/>
      <c r="P43" s="232"/>
      <c r="Q43" s="232"/>
    </row>
    <row r="44" spans="1:17" ht="30">
      <c r="A44" s="270" t="s">
        <v>206</v>
      </c>
      <c r="B44" s="271">
        <f t="shared" si="1"/>
        <v>3032</v>
      </c>
      <c r="C44" s="375">
        <f>'1.1. ПРОФ.МЕРОПРИЯТИЯ'!I12</f>
        <v>3032</v>
      </c>
      <c r="D44" s="376"/>
      <c r="E44" s="377"/>
      <c r="I44" s="363"/>
      <c r="O44" s="232"/>
      <c r="P44" s="232"/>
      <c r="Q44" s="232"/>
    </row>
    <row r="45" spans="1:17" ht="15">
      <c r="A45" s="533" t="s">
        <v>422</v>
      </c>
      <c r="B45" s="522">
        <f t="shared" si="1"/>
        <v>8235</v>
      </c>
      <c r="C45" s="375">
        <f>'1.2. Диспансерное наблюдение'!E17</f>
        <v>8235</v>
      </c>
      <c r="D45" s="376"/>
      <c r="E45" s="377"/>
      <c r="I45" s="363"/>
      <c r="O45" s="232"/>
      <c r="P45" s="232"/>
      <c r="Q45" s="232"/>
    </row>
    <row r="46" spans="1:17" ht="15.75" customHeight="1">
      <c r="A46" s="237" t="s">
        <v>12</v>
      </c>
      <c r="B46" s="233">
        <f aca="true" t="shared" si="2" ref="B46:B60">ROUND(C46+D46+E46*2.9,0)</f>
        <v>1221</v>
      </c>
      <c r="C46" s="369">
        <v>303</v>
      </c>
      <c r="D46" s="484">
        <v>2</v>
      </c>
      <c r="E46" s="485">
        <v>316</v>
      </c>
      <c r="I46" s="363"/>
      <c r="O46" s="232"/>
      <c r="P46" s="232"/>
      <c r="Q46" s="232"/>
    </row>
    <row r="47" spans="1:17" ht="15.75" customHeight="1">
      <c r="A47" s="237" t="s">
        <v>1</v>
      </c>
      <c r="B47" s="233">
        <f t="shared" si="2"/>
        <v>1457</v>
      </c>
      <c r="C47" s="369">
        <v>361</v>
      </c>
      <c r="D47" s="484">
        <v>0</v>
      </c>
      <c r="E47" s="485">
        <v>378</v>
      </c>
      <c r="H47" s="239"/>
      <c r="I47" s="363"/>
      <c r="O47" s="232"/>
      <c r="P47" s="232"/>
      <c r="Q47" s="232"/>
    </row>
    <row r="48" spans="1:17" ht="15.75" customHeight="1">
      <c r="A48" s="237" t="s">
        <v>415</v>
      </c>
      <c r="B48" s="233">
        <f t="shared" si="2"/>
        <v>6148</v>
      </c>
      <c r="C48" s="369">
        <v>1526</v>
      </c>
      <c r="D48" s="484">
        <v>237</v>
      </c>
      <c r="E48" s="485">
        <v>1512</v>
      </c>
      <c r="H48" s="239"/>
      <c r="I48" s="363"/>
      <c r="O48" s="232"/>
      <c r="P48" s="232"/>
      <c r="Q48" s="232"/>
    </row>
    <row r="49" spans="1:17" ht="15.75" customHeight="1">
      <c r="A49" s="533" t="s">
        <v>444</v>
      </c>
      <c r="B49" s="522">
        <f t="shared" si="2"/>
        <v>1343</v>
      </c>
      <c r="C49" s="534">
        <f>'1.2. Диспансерное наблюдение'!E14-'1.2. Диспансерное наблюдение'!F14</f>
        <v>1343</v>
      </c>
      <c r="D49" s="484"/>
      <c r="E49" s="485"/>
      <c r="H49" s="239"/>
      <c r="I49" s="363"/>
      <c r="O49" s="232"/>
      <c r="P49" s="232"/>
      <c r="Q49" s="232"/>
    </row>
    <row r="50" spans="1:17" ht="15.75" customHeight="1">
      <c r="A50" s="236" t="s">
        <v>416</v>
      </c>
      <c r="B50" s="233">
        <f>ROUND(C50+D50+E50*2.9,0)-1</f>
        <v>12534</v>
      </c>
      <c r="C50" s="369">
        <v>3107</v>
      </c>
      <c r="D50" s="484">
        <v>484</v>
      </c>
      <c r="E50" s="485">
        <v>3084</v>
      </c>
      <c r="H50" s="240"/>
      <c r="I50" s="363"/>
      <c r="O50" s="232"/>
      <c r="P50" s="232"/>
      <c r="Q50" s="232"/>
    </row>
    <row r="51" spans="1:17" ht="15.75" customHeight="1">
      <c r="A51" s="533" t="s">
        <v>444</v>
      </c>
      <c r="B51" s="522">
        <f>ROUND(C51+D51+E51*2.9,0)</f>
        <v>300</v>
      </c>
      <c r="C51" s="534">
        <f>'1.2. Диспансерное наблюдение'!E15</f>
        <v>300</v>
      </c>
      <c r="D51" s="484">
        <v>0</v>
      </c>
      <c r="E51" s="485"/>
      <c r="H51" s="240"/>
      <c r="I51" s="363"/>
      <c r="O51" s="232"/>
      <c r="P51" s="232"/>
      <c r="Q51" s="232"/>
    </row>
    <row r="52" spans="1:17" ht="15.75" customHeight="1">
      <c r="A52" s="236" t="s">
        <v>417</v>
      </c>
      <c r="B52" s="233">
        <f t="shared" si="2"/>
        <v>14378</v>
      </c>
      <c r="C52" s="369">
        <v>3566</v>
      </c>
      <c r="D52" s="484">
        <v>555</v>
      </c>
      <c r="E52" s="485">
        <v>3537</v>
      </c>
      <c r="H52" s="240"/>
      <c r="I52" s="363"/>
      <c r="O52" s="232"/>
      <c r="P52" s="232"/>
      <c r="Q52" s="232"/>
    </row>
    <row r="53" spans="1:17" ht="15.75" customHeight="1">
      <c r="A53" s="533" t="s">
        <v>444</v>
      </c>
      <c r="B53" s="522">
        <f>ROUND(C53+D53+E53*2.9,0)</f>
        <v>656</v>
      </c>
      <c r="C53" s="534">
        <f>'1.2. Диспансерное наблюдение'!E16</f>
        <v>656</v>
      </c>
      <c r="D53" s="484"/>
      <c r="E53" s="485"/>
      <c r="H53" s="240"/>
      <c r="I53" s="363"/>
      <c r="O53" s="232"/>
      <c r="P53" s="232"/>
      <c r="Q53" s="232"/>
    </row>
    <row r="54" spans="1:17" ht="15.75" customHeight="1">
      <c r="A54" s="236" t="s">
        <v>63</v>
      </c>
      <c r="B54" s="233">
        <f t="shared" si="2"/>
        <v>0</v>
      </c>
      <c r="C54" s="369"/>
      <c r="D54" s="484"/>
      <c r="E54" s="485"/>
      <c r="I54" s="363"/>
      <c r="O54" s="232"/>
      <c r="P54" s="232"/>
      <c r="Q54" s="232"/>
    </row>
    <row r="55" spans="1:17" ht="15.75" customHeight="1">
      <c r="A55" s="236" t="s">
        <v>411</v>
      </c>
      <c r="B55" s="233">
        <f t="shared" si="2"/>
        <v>11951</v>
      </c>
      <c r="C55" s="369">
        <v>2963</v>
      </c>
      <c r="D55" s="484">
        <v>462</v>
      </c>
      <c r="E55" s="485">
        <v>2940</v>
      </c>
      <c r="I55" s="363"/>
      <c r="O55" s="232"/>
      <c r="P55" s="232"/>
      <c r="Q55" s="232"/>
    </row>
    <row r="56" spans="1:17" ht="15.75" customHeight="1">
      <c r="A56" s="533" t="s">
        <v>444</v>
      </c>
      <c r="B56" s="522">
        <f t="shared" si="2"/>
        <v>406</v>
      </c>
      <c r="C56" s="534">
        <f>'1.2. Диспансерное наблюдение'!E10-'1.2. Диспансерное наблюдение'!G10</f>
        <v>406</v>
      </c>
      <c r="D56" s="523"/>
      <c r="E56" s="524"/>
      <c r="I56" s="363"/>
      <c r="O56" s="232"/>
      <c r="P56" s="232"/>
      <c r="Q56" s="232"/>
    </row>
    <row r="57" spans="1:17" ht="15.75" customHeight="1">
      <c r="A57" s="236" t="s">
        <v>35</v>
      </c>
      <c r="B57" s="233">
        <f t="shared" si="2"/>
        <v>40465</v>
      </c>
      <c r="C57" s="369">
        <v>9235</v>
      </c>
      <c r="D57" s="484">
        <v>1656</v>
      </c>
      <c r="E57" s="485">
        <v>10198</v>
      </c>
      <c r="I57" s="363"/>
      <c r="O57" s="232"/>
      <c r="P57" s="232"/>
      <c r="Q57" s="232"/>
    </row>
    <row r="58" spans="1:17" ht="15.75" customHeight="1">
      <c r="A58" s="236" t="s">
        <v>225</v>
      </c>
      <c r="B58" s="233">
        <f>ROUND(C58+D58+E58*2.9,0)</f>
        <v>5524</v>
      </c>
      <c r="C58" s="369">
        <v>1643</v>
      </c>
      <c r="D58" s="484">
        <v>540</v>
      </c>
      <c r="E58" s="485">
        <v>1152</v>
      </c>
      <c r="H58" s="232"/>
      <c r="I58" s="363"/>
      <c r="O58" s="232"/>
      <c r="P58" s="232"/>
      <c r="Q58" s="232"/>
    </row>
    <row r="59" spans="1:17" ht="15.75" customHeight="1">
      <c r="A59" s="236" t="s">
        <v>36</v>
      </c>
      <c r="B59" s="233">
        <f>ROUND(C59+D59+E59*2.9,0)-1</f>
        <v>15031</v>
      </c>
      <c r="C59" s="369">
        <v>4373</v>
      </c>
      <c r="D59" s="484">
        <v>851</v>
      </c>
      <c r="E59" s="485">
        <v>3382</v>
      </c>
      <c r="H59" s="232"/>
      <c r="I59" s="363"/>
      <c r="O59" s="232"/>
      <c r="P59" s="232"/>
      <c r="Q59" s="232"/>
    </row>
    <row r="60" spans="1:17" ht="15.75" customHeight="1" thickBot="1">
      <c r="A60" s="385" t="s">
        <v>248</v>
      </c>
      <c r="B60" s="233">
        <f t="shared" si="2"/>
        <v>0</v>
      </c>
      <c r="C60" s="372"/>
      <c r="D60" s="373"/>
      <c r="E60" s="374"/>
      <c r="H60" s="232"/>
      <c r="I60" s="363"/>
      <c r="O60" s="232"/>
      <c r="P60" s="232"/>
      <c r="Q60" s="232"/>
    </row>
    <row r="61" spans="1:17" ht="23.25" customHeight="1" thickBot="1">
      <c r="A61" s="414" t="s">
        <v>227</v>
      </c>
      <c r="B61" s="243">
        <f>B13+B15+B16+B18+B19+B20+B21+B22+B24+B25+B30+B31+B33+B34+B36+B38+B40+B46+B47+B48+B50+B52+B54+B55+B57+B58+B59+B60</f>
        <v>371684</v>
      </c>
      <c r="C61" s="243">
        <f>C13+C15+C16+C18+C19+C20+C21+C22+C24+C25+C30+C31+C33+C34+C36+C38+C40+C46+C47+C48+C50+C52+C54+C55+C57+C58+C59+C60</f>
        <v>97323</v>
      </c>
      <c r="D61" s="243">
        <f>D13+D15+D16+D18+D19+D20+D21+D22+D24+D25+D30+D31+D33+D34+D36+D38+D40+D46+D47+D48+D50+D52+D54+D55+D57+D58+D59+D60</f>
        <v>14839</v>
      </c>
      <c r="E61" s="243">
        <f>E13+E15+E16+E18+E19+E20+E21+E22+E24+E25+E30+E31+E33+E34+E36+E38+E40+E46+E47+E48+E50+E52+E54+E55+E57+E58+E59+E60</f>
        <v>89491</v>
      </c>
      <c r="F61" s="238"/>
      <c r="H61" s="238"/>
      <c r="I61" s="363"/>
      <c r="O61" s="232"/>
      <c r="P61" s="232"/>
      <c r="Q61" s="232"/>
    </row>
    <row r="62" spans="1:17" ht="16.5" customHeight="1" thickBot="1">
      <c r="A62" s="601" t="s">
        <v>57</v>
      </c>
      <c r="B62" s="602"/>
      <c r="C62" s="602"/>
      <c r="D62" s="602"/>
      <c r="E62" s="603"/>
      <c r="F62" s="238"/>
      <c r="H62" s="238"/>
      <c r="I62" s="363"/>
      <c r="O62" s="232"/>
      <c r="P62" s="232"/>
      <c r="Q62" s="232"/>
    </row>
    <row r="63" spans="1:17" ht="23.25" customHeight="1">
      <c r="A63" s="244" t="s">
        <v>291</v>
      </c>
      <c r="B63" s="233">
        <f>ROUND(C63+D63+E63*2.9,0)</f>
        <v>20481</v>
      </c>
      <c r="C63" s="367">
        <v>6030</v>
      </c>
      <c r="D63" s="367">
        <v>0</v>
      </c>
      <c r="E63" s="367">
        <v>4983</v>
      </c>
      <c r="F63" s="238"/>
      <c r="H63" s="238"/>
      <c r="I63" s="363"/>
      <c r="O63" s="232"/>
      <c r="P63" s="232"/>
      <c r="Q63" s="232"/>
    </row>
    <row r="64" spans="1:17" ht="17.25" customHeight="1" thickBot="1">
      <c r="A64" s="533" t="s">
        <v>444</v>
      </c>
      <c r="B64" s="522">
        <f>ROUND(C64+D64+E64*2.9,0)</f>
        <v>580</v>
      </c>
      <c r="C64" s="534">
        <f>'1.2. Диспансерное наблюдение'!G10</f>
        <v>580</v>
      </c>
      <c r="D64" s="523"/>
      <c r="E64" s="524"/>
      <c r="F64" s="238"/>
      <c r="H64" s="238"/>
      <c r="I64" s="363"/>
      <c r="O64" s="232"/>
      <c r="P64" s="232"/>
      <c r="Q64" s="232"/>
    </row>
    <row r="65" spans="1:17" ht="20.25" customHeight="1" hidden="1" thickBot="1">
      <c r="A65" s="415" t="s">
        <v>292</v>
      </c>
      <c r="B65" s="243"/>
      <c r="C65" s="243"/>
      <c r="D65" s="243"/>
      <c r="E65" s="243"/>
      <c r="F65" s="238"/>
      <c r="H65" s="238"/>
      <c r="I65" s="363"/>
      <c r="O65" s="232"/>
      <c r="P65" s="232"/>
      <c r="Q65" s="232"/>
    </row>
    <row r="66" spans="1:17" ht="23.25" customHeight="1" hidden="1">
      <c r="A66" s="244" t="s">
        <v>6</v>
      </c>
      <c r="B66" s="233">
        <f>ROUND(C66+D66+E66*2.9,0)</f>
        <v>0</v>
      </c>
      <c r="C66" s="367"/>
      <c r="D66" s="367"/>
      <c r="E66" s="367"/>
      <c r="F66" s="238"/>
      <c r="H66" s="238"/>
      <c r="I66" s="363"/>
      <c r="O66" s="232"/>
      <c r="P66" s="232"/>
      <c r="Q66" s="232"/>
    </row>
    <row r="67" spans="1:17" ht="23.25" customHeight="1" hidden="1" thickBot="1">
      <c r="A67" s="259" t="s">
        <v>38</v>
      </c>
      <c r="B67" s="233">
        <f>ROUND(C67+D67+E67*2.9,0)</f>
        <v>0</v>
      </c>
      <c r="C67" s="367"/>
      <c r="D67" s="367"/>
      <c r="E67" s="367"/>
      <c r="F67" s="238"/>
      <c r="H67" s="238"/>
      <c r="I67" s="363"/>
      <c r="O67" s="232"/>
      <c r="P67" s="232"/>
      <c r="Q67" s="232"/>
    </row>
    <row r="68" spans="1:17" ht="23.25" customHeight="1" hidden="1" thickBot="1">
      <c r="A68" s="241" t="s">
        <v>293</v>
      </c>
      <c r="B68" s="285">
        <f>B66+B67</f>
        <v>0</v>
      </c>
      <c r="C68" s="381">
        <f>C66+C67</f>
        <v>0</v>
      </c>
      <c r="D68" s="411"/>
      <c r="E68" s="412">
        <f>E66+E67</f>
        <v>0</v>
      </c>
      <c r="F68" s="238"/>
      <c r="H68" s="238"/>
      <c r="I68" s="363"/>
      <c r="O68" s="232"/>
      <c r="P68" s="232"/>
      <c r="Q68" s="232"/>
    </row>
    <row r="69" spans="1:17" ht="18.75" customHeight="1">
      <c r="A69" s="616" t="s">
        <v>226</v>
      </c>
      <c r="B69" s="617"/>
      <c r="C69" s="617"/>
      <c r="D69" s="617"/>
      <c r="E69" s="618"/>
      <c r="I69" s="363"/>
      <c r="O69" s="232"/>
      <c r="P69" s="232"/>
      <c r="Q69" s="232"/>
    </row>
    <row r="70" spans="1:17" ht="17.25" customHeight="1">
      <c r="A70" s="244" t="s">
        <v>415</v>
      </c>
      <c r="B70" s="233">
        <f>ROUND(C70+D70+E70*2.9,0)+1</f>
        <v>20378</v>
      </c>
      <c r="C70" s="367">
        <v>5053</v>
      </c>
      <c r="D70" s="367">
        <v>0</v>
      </c>
      <c r="E70" s="367">
        <v>5284</v>
      </c>
      <c r="I70" s="363"/>
      <c r="O70" s="232"/>
      <c r="P70" s="232"/>
      <c r="Q70" s="232"/>
    </row>
    <row r="71" spans="1:17" ht="17.25" customHeight="1">
      <c r="A71" s="533" t="s">
        <v>444</v>
      </c>
      <c r="B71" s="522">
        <f>ROUND(C71+D71+E71*2.9,0)</f>
        <v>1931</v>
      </c>
      <c r="C71" s="534">
        <f>'1.2. Диспансерное наблюдение'!F14</f>
        <v>1931</v>
      </c>
      <c r="D71" s="523"/>
      <c r="E71" s="524"/>
      <c r="I71" s="363"/>
      <c r="O71" s="232"/>
      <c r="P71" s="232"/>
      <c r="Q71" s="232"/>
    </row>
    <row r="72" spans="1:17" ht="18" customHeight="1">
      <c r="A72" s="259" t="s">
        <v>38</v>
      </c>
      <c r="B72" s="233">
        <f>ROUND(C72+D72+E72*2.9,0)+1</f>
        <v>3364</v>
      </c>
      <c r="C72" s="367">
        <v>834</v>
      </c>
      <c r="D72" s="367">
        <v>0</v>
      </c>
      <c r="E72" s="367">
        <v>872</v>
      </c>
      <c r="I72" s="363"/>
      <c r="O72" s="232"/>
      <c r="P72" s="232"/>
      <c r="Q72" s="232"/>
    </row>
    <row r="73" spans="1:17" ht="20.25" customHeight="1" thickBot="1">
      <c r="A73" s="282" t="s">
        <v>0</v>
      </c>
      <c r="B73" s="284">
        <f>ROUND(C73+D73+E73*2.9,0)</f>
        <v>930</v>
      </c>
      <c r="C73" s="372">
        <v>231</v>
      </c>
      <c r="D73" s="373">
        <v>0</v>
      </c>
      <c r="E73" s="374">
        <v>241</v>
      </c>
      <c r="I73" s="363"/>
      <c r="O73" s="232"/>
      <c r="P73" s="232"/>
      <c r="Q73" s="232"/>
    </row>
    <row r="74" spans="1:17" ht="15.75" thickBot="1">
      <c r="A74" s="241" t="s">
        <v>205</v>
      </c>
      <c r="B74" s="381">
        <f>B73+B72+B70</f>
        <v>24672</v>
      </c>
      <c r="C74" s="381">
        <f>C73+C72+C70</f>
        <v>6118</v>
      </c>
      <c r="D74" s="381">
        <f>D73+D72+D70</f>
        <v>0</v>
      </c>
      <c r="E74" s="381">
        <f>E73+E72+E70</f>
        <v>6397</v>
      </c>
      <c r="F74" s="232"/>
      <c r="G74" s="232"/>
      <c r="H74" s="232"/>
      <c r="I74" s="232"/>
      <c r="O74" s="232"/>
      <c r="P74" s="232"/>
      <c r="Q74" s="232"/>
    </row>
    <row r="75" spans="1:18" ht="15.75" thickBot="1">
      <c r="A75" s="241" t="s">
        <v>440</v>
      </c>
      <c r="B75" s="381">
        <f>B74+B61+B63</f>
        <v>416837</v>
      </c>
      <c r="C75" s="381">
        <f>C74+C61+C63</f>
        <v>109471</v>
      </c>
      <c r="D75" s="381">
        <f>D74+D61+D63</f>
        <v>14839</v>
      </c>
      <c r="E75" s="381">
        <f>E74+E61+E63</f>
        <v>100871</v>
      </c>
      <c r="F75" s="232"/>
      <c r="H75" s="232"/>
      <c r="I75" s="363"/>
      <c r="J75" s="232"/>
      <c r="L75" s="363"/>
      <c r="M75" s="363"/>
      <c r="N75" s="363"/>
      <c r="O75" s="361"/>
      <c r="P75" s="361"/>
      <c r="Q75" s="361"/>
      <c r="R75" s="363"/>
    </row>
    <row r="76" spans="1:18" ht="15.75" thickBot="1">
      <c r="A76" s="533" t="s">
        <v>377</v>
      </c>
      <c r="B76" s="522">
        <f>C76</f>
        <v>17580</v>
      </c>
      <c r="C76" s="362">
        <f>B14+B17+B23+B35+B37+B39+B45+B49+B51+B53+B56+B64+B71+B32</f>
        <v>17580</v>
      </c>
      <c r="D76" s="523"/>
      <c r="E76" s="524"/>
      <c r="F76" s="232"/>
      <c r="G76" s="232"/>
      <c r="H76" s="232"/>
      <c r="I76" s="363"/>
      <c r="J76" s="232"/>
      <c r="L76" s="363"/>
      <c r="M76" s="363"/>
      <c r="N76" s="363"/>
      <c r="O76" s="361"/>
      <c r="P76" s="361"/>
      <c r="Q76" s="361"/>
      <c r="R76" s="363"/>
    </row>
    <row r="77" spans="1:8" ht="19.5" customHeight="1" hidden="1" thickBot="1">
      <c r="A77" s="597"/>
      <c r="B77" s="598"/>
      <c r="C77" s="598"/>
      <c r="D77" s="598"/>
      <c r="E77" s="598"/>
      <c r="F77" s="232"/>
      <c r="H77" s="232"/>
    </row>
    <row r="78" spans="1:5" ht="19.5" customHeight="1" hidden="1">
      <c r="A78" s="286"/>
      <c r="B78" s="233"/>
      <c r="C78" s="318"/>
      <c r="D78" s="319"/>
      <c r="E78" s="320"/>
    </row>
    <row r="79" spans="1:6" ht="16.5" customHeight="1" hidden="1">
      <c r="A79" s="244"/>
      <c r="B79" s="233"/>
      <c r="C79" s="318"/>
      <c r="D79" s="319"/>
      <c r="E79" s="320"/>
      <c r="F79" s="247"/>
    </row>
    <row r="80" spans="1:6" ht="16.5" customHeight="1" hidden="1" thickBot="1">
      <c r="A80" s="282"/>
      <c r="B80" s="284"/>
      <c r="C80" s="335"/>
      <c r="D80" s="330"/>
      <c r="E80" s="331"/>
      <c r="F80" s="247"/>
    </row>
    <row r="81" spans="1:6" ht="16.5" customHeight="1" hidden="1" thickBot="1">
      <c r="A81" s="241"/>
      <c r="B81" s="285"/>
      <c r="C81" s="332"/>
      <c r="D81" s="333"/>
      <c r="E81" s="334"/>
      <c r="F81" s="247"/>
    </row>
    <row r="82" spans="1:6" ht="32.25" customHeight="1" hidden="1">
      <c r="A82" s="286"/>
      <c r="B82" s="233"/>
      <c r="C82" s="318"/>
      <c r="D82" s="319"/>
      <c r="E82" s="320"/>
      <c r="F82" s="247"/>
    </row>
    <row r="83" spans="1:6" ht="16.5" customHeight="1" hidden="1">
      <c r="A83" s="244"/>
      <c r="B83" s="233"/>
      <c r="C83" s="321"/>
      <c r="D83" s="322"/>
      <c r="E83" s="323"/>
      <c r="F83" s="247"/>
    </row>
    <row r="84" spans="1:6" ht="16.5" customHeight="1" hidden="1">
      <c r="A84" s="259"/>
      <c r="B84" s="233"/>
      <c r="C84" s="318"/>
      <c r="D84" s="319"/>
      <c r="E84" s="320"/>
      <c r="F84" s="247"/>
    </row>
    <row r="85" spans="1:6" ht="16.5" customHeight="1" hidden="1" thickBot="1">
      <c r="A85" s="282"/>
      <c r="B85" s="284"/>
      <c r="C85" s="329"/>
      <c r="D85" s="330"/>
      <c r="E85" s="331"/>
      <c r="F85" s="247"/>
    </row>
    <row r="86" spans="1:6" ht="16.5" customHeight="1" hidden="1" thickBot="1">
      <c r="A86" s="241"/>
      <c r="B86" s="285"/>
      <c r="C86" s="332"/>
      <c r="D86" s="333"/>
      <c r="E86" s="334"/>
      <c r="F86" s="247"/>
    </row>
    <row r="87" spans="1:6" ht="17.25" customHeight="1" hidden="1" thickBot="1">
      <c r="A87" s="241"/>
      <c r="B87" s="242"/>
      <c r="C87" s="327"/>
      <c r="D87" s="327"/>
      <c r="E87" s="328"/>
      <c r="F87" s="247"/>
    </row>
    <row r="88" spans="1:5" ht="30.75" customHeight="1" hidden="1" thickBot="1">
      <c r="A88" s="597"/>
      <c r="B88" s="598"/>
      <c r="C88" s="598"/>
      <c r="D88" s="598"/>
      <c r="E88" s="598"/>
    </row>
    <row r="89" spans="1:5" ht="15" hidden="1">
      <c r="A89" s="235"/>
      <c r="B89" s="233"/>
      <c r="C89" s="318"/>
      <c r="D89" s="319"/>
      <c r="E89" s="320"/>
    </row>
    <row r="90" spans="1:5" ht="22.5" customHeight="1" hidden="1" thickBot="1">
      <c r="A90" s="236"/>
      <c r="B90" s="233"/>
      <c r="C90" s="321"/>
      <c r="D90" s="319"/>
      <c r="E90" s="320"/>
    </row>
    <row r="91" spans="1:5" ht="15.75" hidden="1" thickBot="1">
      <c r="A91" s="241"/>
      <c r="B91" s="242"/>
      <c r="C91" s="327"/>
      <c r="D91" s="327"/>
      <c r="E91" s="328"/>
    </row>
    <row r="92" spans="1:8" ht="20.25" customHeight="1" thickBot="1">
      <c r="A92" s="597" t="s">
        <v>427</v>
      </c>
      <c r="B92" s="598"/>
      <c r="C92" s="598"/>
      <c r="D92" s="598"/>
      <c r="E92" s="598"/>
      <c r="F92" s="232"/>
      <c r="H92" s="232"/>
    </row>
    <row r="93" spans="1:17" ht="15">
      <c r="A93" s="245" t="s">
        <v>74</v>
      </c>
      <c r="B93" s="246">
        <f aca="true" t="shared" si="3" ref="B93:B111">ROUND(C93+D93+E93*2.9,0)</f>
        <v>1482</v>
      </c>
      <c r="C93" s="382">
        <v>682</v>
      </c>
      <c r="D93" s="370">
        <v>0</v>
      </c>
      <c r="E93" s="371">
        <v>276</v>
      </c>
      <c r="H93" s="232"/>
      <c r="O93" s="362"/>
      <c r="P93" s="362"/>
      <c r="Q93" s="362"/>
    </row>
    <row r="94" spans="1:17" ht="15">
      <c r="A94" s="245" t="s">
        <v>382</v>
      </c>
      <c r="B94" s="246">
        <f t="shared" si="3"/>
        <v>115602</v>
      </c>
      <c r="C94" s="369">
        <v>53176</v>
      </c>
      <c r="D94" s="370">
        <v>14811</v>
      </c>
      <c r="E94" s="371">
        <v>16419</v>
      </c>
      <c r="J94" s="363"/>
      <c r="K94" s="232"/>
      <c r="M94" s="232"/>
      <c r="O94" s="362"/>
      <c r="P94" s="362"/>
      <c r="Q94" s="362"/>
    </row>
    <row r="95" spans="1:17" s="272" customFormat="1" ht="30.75" customHeight="1">
      <c r="A95" s="270" t="s">
        <v>421</v>
      </c>
      <c r="B95" s="271">
        <f t="shared" si="3"/>
        <v>18739</v>
      </c>
      <c r="C95" s="375">
        <f>C96+C97+C98</f>
        <v>18739</v>
      </c>
      <c r="D95" s="375">
        <f>D96+D97+D98</f>
        <v>0</v>
      </c>
      <c r="E95" s="375">
        <f>E96+E97+E98</f>
        <v>0</v>
      </c>
      <c r="G95" s="231"/>
      <c r="H95" s="274"/>
      <c r="I95" s="273"/>
      <c r="J95" s="273"/>
      <c r="K95" s="273"/>
      <c r="M95" s="273"/>
      <c r="O95" s="362"/>
      <c r="P95" s="362"/>
      <c r="Q95" s="362"/>
    </row>
    <row r="96" spans="1:17" s="272" customFormat="1" ht="29.25" customHeight="1">
      <c r="A96" s="270" t="s">
        <v>148</v>
      </c>
      <c r="B96" s="271">
        <f t="shared" si="3"/>
        <v>134</v>
      </c>
      <c r="C96" s="375">
        <f>'1.1. ПРОФ.МЕРОПРИЯТИЯ'!C10</f>
        <v>134</v>
      </c>
      <c r="D96" s="376"/>
      <c r="E96" s="377"/>
      <c r="G96" s="231"/>
      <c r="H96" s="274"/>
      <c r="I96" s="273"/>
      <c r="J96" s="273"/>
      <c r="K96" s="273"/>
      <c r="M96" s="273"/>
      <c r="O96" s="362"/>
      <c r="P96" s="362"/>
      <c r="Q96" s="362"/>
    </row>
    <row r="97" spans="1:17" s="272" customFormat="1" ht="31.5" customHeight="1">
      <c r="A97" s="270" t="s">
        <v>149</v>
      </c>
      <c r="B97" s="271">
        <f t="shared" si="3"/>
        <v>100</v>
      </c>
      <c r="C97" s="375">
        <f>'1.1. ПРОФ.МЕРОПРИЯТИЯ'!D10</f>
        <v>100</v>
      </c>
      <c r="D97" s="376"/>
      <c r="E97" s="377"/>
      <c r="G97" s="231"/>
      <c r="H97" s="274"/>
      <c r="I97" s="273"/>
      <c r="J97" s="273"/>
      <c r="K97" s="273"/>
      <c r="M97" s="273"/>
      <c r="O97" s="362"/>
      <c r="P97" s="362"/>
      <c r="Q97" s="362"/>
    </row>
    <row r="98" spans="1:17" s="248" customFormat="1" ht="24.75" customHeight="1">
      <c r="A98" s="270" t="s">
        <v>150</v>
      </c>
      <c r="B98" s="271">
        <f t="shared" si="3"/>
        <v>18505</v>
      </c>
      <c r="C98" s="324">
        <f>'1.1. ПРОФ.МЕРОПРИЯТИЯ'!H10</f>
        <v>18505</v>
      </c>
      <c r="D98" s="325"/>
      <c r="E98" s="326"/>
      <c r="F98" s="249"/>
      <c r="G98" s="231"/>
      <c r="H98" s="250"/>
      <c r="I98" s="249"/>
      <c r="J98" s="249"/>
      <c r="K98" s="249"/>
      <c r="M98" s="249"/>
      <c r="O98" s="362"/>
      <c r="P98" s="362"/>
      <c r="Q98" s="362"/>
    </row>
    <row r="99" spans="1:17" ht="15" customHeight="1">
      <c r="A99" s="251" t="s">
        <v>8</v>
      </c>
      <c r="B99" s="233">
        <f t="shared" si="3"/>
        <v>467</v>
      </c>
      <c r="C99" s="369">
        <v>215</v>
      </c>
      <c r="D99" s="370">
        <v>0</v>
      </c>
      <c r="E99" s="371">
        <v>87</v>
      </c>
      <c r="O99" s="362"/>
      <c r="P99" s="362"/>
      <c r="Q99" s="362"/>
    </row>
    <row r="100" spans="1:17" ht="15" customHeight="1">
      <c r="A100" s="251" t="s">
        <v>79</v>
      </c>
      <c r="B100" s="233">
        <f t="shared" si="3"/>
        <v>1976</v>
      </c>
      <c r="C100" s="369">
        <v>909</v>
      </c>
      <c r="D100" s="370">
        <v>0</v>
      </c>
      <c r="E100" s="371">
        <v>368</v>
      </c>
      <c r="O100" s="362"/>
      <c r="P100" s="362"/>
      <c r="Q100" s="362"/>
    </row>
    <row r="101" spans="1:17" ht="15" customHeight="1">
      <c r="A101" s="251" t="s">
        <v>3</v>
      </c>
      <c r="B101" s="233">
        <f t="shared" si="3"/>
        <v>9783</v>
      </c>
      <c r="C101" s="369">
        <v>4500</v>
      </c>
      <c r="D101" s="370">
        <v>5</v>
      </c>
      <c r="E101" s="371">
        <v>1820</v>
      </c>
      <c r="O101" s="362"/>
      <c r="P101" s="362"/>
      <c r="Q101" s="362"/>
    </row>
    <row r="102" spans="1:17" ht="15" customHeight="1">
      <c r="A102" s="251" t="s">
        <v>462</v>
      </c>
      <c r="B102" s="233">
        <f>ROUND(C102+D102+E102*2.9,0)+1</f>
        <v>7264</v>
      </c>
      <c r="C102" s="369">
        <v>3341</v>
      </c>
      <c r="D102" s="370">
        <v>1382</v>
      </c>
      <c r="E102" s="371">
        <v>876</v>
      </c>
      <c r="J102" s="363"/>
      <c r="O102" s="362"/>
      <c r="P102" s="362"/>
      <c r="Q102" s="362"/>
    </row>
    <row r="103" spans="1:17" ht="15" customHeight="1">
      <c r="A103" s="251" t="s">
        <v>34</v>
      </c>
      <c r="B103" s="233">
        <f t="shared" si="3"/>
        <v>8097</v>
      </c>
      <c r="C103" s="369">
        <v>3725</v>
      </c>
      <c r="D103" s="370">
        <v>4056</v>
      </c>
      <c r="E103" s="371">
        <v>109</v>
      </c>
      <c r="J103" s="363"/>
      <c r="O103" s="362"/>
      <c r="P103" s="362"/>
      <c r="Q103" s="362"/>
    </row>
    <row r="104" spans="1:17" ht="15" customHeight="1">
      <c r="A104" s="251" t="s">
        <v>232</v>
      </c>
      <c r="B104" s="233">
        <f>ROUND(C104+D104+E104*2.9,0)</f>
        <v>2444</v>
      </c>
      <c r="C104" s="369">
        <v>1124</v>
      </c>
      <c r="D104" s="370">
        <v>35</v>
      </c>
      <c r="E104" s="371">
        <v>443</v>
      </c>
      <c r="J104" s="363"/>
      <c r="O104" s="362"/>
      <c r="P104" s="362"/>
      <c r="Q104" s="362"/>
    </row>
    <row r="105" spans="1:17" ht="15" customHeight="1">
      <c r="A105" s="251" t="s">
        <v>463</v>
      </c>
      <c r="B105" s="233">
        <f t="shared" si="3"/>
        <v>1568</v>
      </c>
      <c r="C105" s="369">
        <v>721</v>
      </c>
      <c r="D105" s="370">
        <v>0</v>
      </c>
      <c r="E105" s="371">
        <v>292</v>
      </c>
      <c r="J105" s="363"/>
      <c r="O105" s="362"/>
      <c r="P105" s="362"/>
      <c r="Q105" s="362"/>
    </row>
    <row r="106" spans="1:17" ht="15" customHeight="1">
      <c r="A106" s="251" t="s">
        <v>75</v>
      </c>
      <c r="B106" s="233">
        <f>ROUND(C106+D106+E106*2.9,0)</f>
        <v>4093</v>
      </c>
      <c r="C106" s="369">
        <v>1883</v>
      </c>
      <c r="D106" s="370">
        <v>0</v>
      </c>
      <c r="E106" s="371">
        <v>762</v>
      </c>
      <c r="J106" s="363"/>
      <c r="O106" s="362"/>
      <c r="P106" s="362"/>
      <c r="Q106" s="362"/>
    </row>
    <row r="107" spans="1:17" ht="15" customHeight="1">
      <c r="A107" s="252" t="s">
        <v>80</v>
      </c>
      <c r="B107" s="233">
        <f t="shared" si="3"/>
        <v>3205</v>
      </c>
      <c r="C107" s="369">
        <v>1474</v>
      </c>
      <c r="D107" s="370">
        <v>667</v>
      </c>
      <c r="E107" s="371">
        <v>367</v>
      </c>
      <c r="J107" s="363"/>
      <c r="O107" s="362"/>
      <c r="P107" s="362"/>
      <c r="Q107" s="362"/>
    </row>
    <row r="108" spans="1:17" ht="15" customHeight="1">
      <c r="A108" s="251" t="s">
        <v>9</v>
      </c>
      <c r="B108" s="233">
        <f t="shared" si="3"/>
        <v>618</v>
      </c>
      <c r="C108" s="369">
        <v>284</v>
      </c>
      <c r="D108" s="370">
        <v>0</v>
      </c>
      <c r="E108" s="371">
        <v>115</v>
      </c>
      <c r="J108" s="363"/>
      <c r="O108" s="362"/>
      <c r="P108" s="362"/>
      <c r="Q108" s="362"/>
    </row>
    <row r="109" spans="1:17" ht="15" customHeight="1">
      <c r="A109" s="253" t="s">
        <v>78</v>
      </c>
      <c r="B109" s="233">
        <f t="shared" si="3"/>
        <v>7426</v>
      </c>
      <c r="C109" s="369">
        <v>3416</v>
      </c>
      <c r="D109" s="370">
        <v>75</v>
      </c>
      <c r="E109" s="371">
        <v>1357</v>
      </c>
      <c r="J109" s="363"/>
      <c r="O109" s="362"/>
      <c r="P109" s="362"/>
      <c r="Q109" s="362"/>
    </row>
    <row r="110" spans="1:17" ht="15" customHeight="1">
      <c r="A110" s="251" t="s">
        <v>2</v>
      </c>
      <c r="B110" s="233">
        <f t="shared" si="3"/>
        <v>8118</v>
      </c>
      <c r="C110" s="369">
        <v>3734</v>
      </c>
      <c r="D110" s="370">
        <v>25</v>
      </c>
      <c r="E110" s="371">
        <v>1503</v>
      </c>
      <c r="J110" s="363"/>
      <c r="O110" s="362"/>
      <c r="P110" s="362"/>
      <c r="Q110" s="362"/>
    </row>
    <row r="111" spans="1:17" ht="30.75" thickBot="1">
      <c r="A111" s="253" t="s">
        <v>81</v>
      </c>
      <c r="B111" s="233">
        <f t="shared" si="3"/>
        <v>14742</v>
      </c>
      <c r="C111" s="369">
        <v>14742</v>
      </c>
      <c r="D111" s="370"/>
      <c r="E111" s="371"/>
      <c r="F111" s="232"/>
      <c r="G111" s="232"/>
      <c r="H111" s="232"/>
      <c r="I111" s="232"/>
      <c r="O111" s="362"/>
      <c r="P111" s="362"/>
      <c r="Q111" s="362"/>
    </row>
    <row r="112" spans="1:17" ht="17.25" customHeight="1" thickBot="1">
      <c r="A112" s="241" t="s">
        <v>441</v>
      </c>
      <c r="B112" s="327">
        <f>B93+B94+B99+B100+B101+B102+B103+B104+B105+B106+B107+B108+B109+B110+B111</f>
        <v>186885</v>
      </c>
      <c r="C112" s="327">
        <f>C93+C94+C99+C100+C101+C102+C103+C104+C105+C106+C107+C108+C109+C110+C111</f>
        <v>93926</v>
      </c>
      <c r="D112" s="327">
        <f>D93+D94+D99+D100+D101+D102+D103+D104+D105+D106+D107+D108+D109+D110+D111</f>
        <v>21056</v>
      </c>
      <c r="E112" s="327">
        <f>E93+E94+E99+E100+E101+E102+E103+E104+E105+E106+E107+E108+E109+E110+E111</f>
        <v>24794</v>
      </c>
      <c r="H112" s="232"/>
      <c r="I112" s="363"/>
      <c r="J112" s="361"/>
      <c r="L112" s="232"/>
      <c r="O112" s="232"/>
      <c r="P112" s="361"/>
      <c r="Q112" s="361"/>
    </row>
    <row r="113" spans="1:5" ht="25.5" customHeight="1" thickBot="1">
      <c r="A113" s="597" t="s">
        <v>428</v>
      </c>
      <c r="B113" s="598"/>
      <c r="C113" s="598"/>
      <c r="D113" s="598"/>
      <c r="E113" s="598"/>
    </row>
    <row r="114" spans="1:6" ht="15.75" customHeight="1">
      <c r="A114" s="244" t="s">
        <v>38</v>
      </c>
      <c r="B114" s="233">
        <f aca="true" t="shared" si="4" ref="B114:B119">ROUND(C114+D114+E114*2.9,0)</f>
        <v>32581</v>
      </c>
      <c r="C114" s="364">
        <v>25354</v>
      </c>
      <c r="D114" s="365">
        <v>1140</v>
      </c>
      <c r="E114" s="366">
        <v>2099</v>
      </c>
      <c r="F114" s="240"/>
    </row>
    <row r="115" spans="1:6" ht="15.75" customHeight="1">
      <c r="A115" s="533" t="s">
        <v>444</v>
      </c>
      <c r="B115" s="522">
        <f t="shared" si="4"/>
        <v>1172</v>
      </c>
      <c r="C115" s="534">
        <f>'1.2. Диспансерное наблюдение'!B9</f>
        <v>1172</v>
      </c>
      <c r="D115" s="370"/>
      <c r="E115" s="371"/>
      <c r="F115" s="240"/>
    </row>
    <row r="116" spans="1:6" ht="15.75" customHeight="1">
      <c r="A116" s="254" t="s">
        <v>110</v>
      </c>
      <c r="B116" s="233">
        <f t="shared" si="4"/>
        <v>2469</v>
      </c>
      <c r="C116" s="367">
        <v>293</v>
      </c>
      <c r="D116" s="365">
        <v>10</v>
      </c>
      <c r="E116" s="366">
        <v>747</v>
      </c>
      <c r="F116" s="240"/>
    </row>
    <row r="117" spans="1:6" ht="15.75" customHeight="1">
      <c r="A117" s="254" t="s">
        <v>0</v>
      </c>
      <c r="B117" s="233">
        <f t="shared" si="4"/>
        <v>1481</v>
      </c>
      <c r="C117" s="367">
        <v>1481</v>
      </c>
      <c r="D117" s="365">
        <v>0</v>
      </c>
      <c r="E117" s="366">
        <v>0</v>
      </c>
      <c r="F117" s="240"/>
    </row>
    <row r="118" spans="1:6" ht="15.75" customHeight="1">
      <c r="A118" s="254" t="s">
        <v>2</v>
      </c>
      <c r="B118" s="233">
        <f t="shared" si="4"/>
        <v>902</v>
      </c>
      <c r="C118" s="367">
        <v>864</v>
      </c>
      <c r="D118" s="365">
        <v>0</v>
      </c>
      <c r="E118" s="366">
        <v>13</v>
      </c>
      <c r="F118" s="240"/>
    </row>
    <row r="119" spans="1:9" ht="27" customHeight="1" thickBot="1">
      <c r="A119" s="255" t="s">
        <v>208</v>
      </c>
      <c r="B119" s="233">
        <f t="shared" si="4"/>
        <v>1300</v>
      </c>
      <c r="C119" s="372">
        <v>1300</v>
      </c>
      <c r="D119" s="373"/>
      <c r="E119" s="374"/>
      <c r="F119" s="232"/>
      <c r="G119" s="232"/>
      <c r="H119" s="232"/>
      <c r="I119" s="232"/>
    </row>
    <row r="120" spans="1:9" ht="30" customHeight="1" thickBot="1">
      <c r="A120" s="241" t="s">
        <v>442</v>
      </c>
      <c r="B120" s="243">
        <f>SUM(B114:B119)-B115</f>
        <v>38733</v>
      </c>
      <c r="C120" s="243">
        <f>SUM(C114:C119)-C115</f>
        <v>29292</v>
      </c>
      <c r="D120" s="243">
        <f>SUM(D114:D119)-D115</f>
        <v>1150</v>
      </c>
      <c r="E120" s="368">
        <f>SUM(E114:E119)-E115</f>
        <v>2859</v>
      </c>
      <c r="H120" s="232"/>
      <c r="I120" s="545"/>
    </row>
    <row r="121" spans="1:6" ht="18" customHeight="1" thickBot="1">
      <c r="A121" s="533" t="s">
        <v>444</v>
      </c>
      <c r="B121" s="522">
        <f>C121</f>
        <v>1172</v>
      </c>
      <c r="C121" s="540">
        <f>C115</f>
        <v>1172</v>
      </c>
      <c r="D121" s="523"/>
      <c r="E121" s="524"/>
      <c r="F121" s="240"/>
    </row>
    <row r="122" spans="1:5" ht="21" customHeight="1" hidden="1" thickBot="1">
      <c r="A122" s="597"/>
      <c r="B122" s="598"/>
      <c r="C122" s="598"/>
      <c r="D122" s="598"/>
      <c r="E122" s="598"/>
    </row>
    <row r="123" spans="1:5" ht="15" hidden="1">
      <c r="A123" s="236"/>
      <c r="B123" s="233"/>
      <c r="C123" s="321"/>
      <c r="D123" s="319"/>
      <c r="E123" s="320"/>
    </row>
    <row r="124" spans="1:5" ht="15" hidden="1">
      <c r="A124" s="254"/>
      <c r="B124" s="233"/>
      <c r="C124" s="321"/>
      <c r="D124" s="319"/>
      <c r="E124" s="320"/>
    </row>
    <row r="125" spans="1:7" s="275" customFormat="1" ht="15" hidden="1">
      <c r="A125" s="270"/>
      <c r="B125" s="271"/>
      <c r="C125" s="324"/>
      <c r="D125" s="325"/>
      <c r="E125" s="326"/>
      <c r="G125" s="231"/>
    </row>
    <row r="126" spans="1:7" s="275" customFormat="1" ht="15" hidden="1">
      <c r="A126" s="270"/>
      <c r="B126" s="271"/>
      <c r="C126" s="324"/>
      <c r="D126" s="325"/>
      <c r="E126" s="326"/>
      <c r="G126" s="231"/>
    </row>
    <row r="127" spans="1:7" s="275" customFormat="1" ht="15" hidden="1">
      <c r="A127" s="270"/>
      <c r="B127" s="271"/>
      <c r="C127" s="324"/>
      <c r="D127" s="325"/>
      <c r="E127" s="326"/>
      <c r="G127" s="231"/>
    </row>
    <row r="128" spans="1:6" ht="15" hidden="1">
      <c r="A128" s="254"/>
      <c r="B128" s="233"/>
      <c r="C128" s="321"/>
      <c r="D128" s="319"/>
      <c r="E128" s="320"/>
      <c r="F128" s="240"/>
    </row>
    <row r="129" spans="1:6" ht="15" hidden="1">
      <c r="A129" s="254"/>
      <c r="B129" s="233"/>
      <c r="C129" s="321"/>
      <c r="D129" s="319"/>
      <c r="E129" s="320"/>
      <c r="F129" s="240"/>
    </row>
    <row r="130" spans="1:6" ht="15" hidden="1">
      <c r="A130" s="254"/>
      <c r="B130" s="233"/>
      <c r="C130" s="321"/>
      <c r="D130" s="319"/>
      <c r="E130" s="320"/>
      <c r="F130" s="240"/>
    </row>
    <row r="131" spans="1:6" ht="15" hidden="1">
      <c r="A131" s="254"/>
      <c r="B131" s="233"/>
      <c r="C131" s="321"/>
      <c r="D131" s="319"/>
      <c r="E131" s="320"/>
      <c r="F131" s="240"/>
    </row>
    <row r="132" spans="1:6" ht="15" hidden="1">
      <c r="A132" s="244"/>
      <c r="B132" s="233"/>
      <c r="C132" s="318"/>
      <c r="D132" s="319"/>
      <c r="E132" s="320"/>
      <c r="F132" s="240"/>
    </row>
    <row r="133" spans="1:6" ht="15.75" hidden="1" thickBot="1">
      <c r="A133" s="254"/>
      <c r="B133" s="233"/>
      <c r="C133" s="321"/>
      <c r="D133" s="319"/>
      <c r="E133" s="320"/>
      <c r="F133" s="240"/>
    </row>
    <row r="134" spans="1:6" ht="18" customHeight="1" hidden="1" thickBot="1">
      <c r="A134" s="241"/>
      <c r="B134" s="243"/>
      <c r="C134" s="327"/>
      <c r="D134" s="327"/>
      <c r="E134" s="327"/>
      <c r="F134" s="240"/>
    </row>
    <row r="135" spans="1:10" ht="21.75" customHeight="1" thickBot="1">
      <c r="A135" s="597" t="s">
        <v>429</v>
      </c>
      <c r="B135" s="598"/>
      <c r="C135" s="598"/>
      <c r="D135" s="598"/>
      <c r="E135" s="598"/>
      <c r="H135" s="232"/>
      <c r="I135" s="232"/>
      <c r="J135" s="232"/>
    </row>
    <row r="136" spans="1:5" ht="13.5" customHeight="1">
      <c r="A136" s="254" t="s">
        <v>413</v>
      </c>
      <c r="B136" s="256">
        <f aca="true" t="shared" si="5" ref="B136:B151">ROUND(C136+D136+E136*2.9,0)</f>
        <v>6838</v>
      </c>
      <c r="C136" s="369">
        <v>1575</v>
      </c>
      <c r="D136" s="370">
        <v>426</v>
      </c>
      <c r="E136" s="371">
        <v>1668</v>
      </c>
    </row>
    <row r="137" spans="1:5" ht="15" customHeight="1">
      <c r="A137" s="533" t="s">
        <v>444</v>
      </c>
      <c r="B137" s="522">
        <f>ROUND(C137+D137+E137*2.9,0)</f>
        <v>297</v>
      </c>
      <c r="C137" s="535">
        <f>'1.2. Диспансерное наблюдение'!D12</f>
        <v>297</v>
      </c>
      <c r="D137" s="370"/>
      <c r="E137" s="371"/>
    </row>
    <row r="138" spans="1:11" ht="18" customHeight="1">
      <c r="A138" s="237" t="s">
        <v>383</v>
      </c>
      <c r="B138" s="257">
        <f t="shared" si="5"/>
        <v>135468</v>
      </c>
      <c r="C138" s="588">
        <f>49275+2236</f>
        <v>51511</v>
      </c>
      <c r="D138" s="370">
        <v>10570</v>
      </c>
      <c r="E138" s="371">
        <v>25306</v>
      </c>
      <c r="F138" s="232"/>
      <c r="H138" s="232"/>
      <c r="I138" s="232"/>
      <c r="J138" s="232"/>
      <c r="K138" s="232"/>
    </row>
    <row r="139" spans="1:11" s="275" customFormat="1" ht="32.25" customHeight="1">
      <c r="A139" s="270" t="s">
        <v>421</v>
      </c>
      <c r="B139" s="271">
        <f t="shared" si="5"/>
        <v>36904</v>
      </c>
      <c r="C139" s="375">
        <f>C140+C142</f>
        <v>36904</v>
      </c>
      <c r="D139" s="376">
        <v>0</v>
      </c>
      <c r="E139" s="377">
        <v>0</v>
      </c>
      <c r="F139" s="231"/>
      <c r="G139" s="231"/>
      <c r="I139" s="276"/>
      <c r="J139" s="276"/>
      <c r="K139" s="276"/>
    </row>
    <row r="140" spans="1:11" s="275" customFormat="1" ht="29.25" customHeight="1">
      <c r="A140" s="270" t="s">
        <v>385</v>
      </c>
      <c r="B140" s="271">
        <f t="shared" si="5"/>
        <v>30253</v>
      </c>
      <c r="C140" s="375">
        <f>'1.1. ПРОФ.МЕРОПРИЯТИЯ'!E11</f>
        <v>30253</v>
      </c>
      <c r="D140" s="376"/>
      <c r="E140" s="377"/>
      <c r="F140" s="231"/>
      <c r="G140" s="231"/>
      <c r="I140" s="276"/>
      <c r="J140" s="276"/>
      <c r="K140" s="276"/>
    </row>
    <row r="141" spans="1:11" s="275" customFormat="1" ht="24" customHeight="1">
      <c r="A141" s="270" t="s">
        <v>384</v>
      </c>
      <c r="B141" s="271"/>
      <c r="C141" s="375">
        <f>'1.1. ПРОФ.МЕРОПРИЯТИЯ'!F11</f>
        <v>2074</v>
      </c>
      <c r="D141" s="376"/>
      <c r="E141" s="377"/>
      <c r="F141" s="231"/>
      <c r="G141" s="231"/>
      <c r="I141" s="276"/>
      <c r="J141" s="276"/>
      <c r="K141" s="276"/>
    </row>
    <row r="142" spans="1:11" s="275" customFormat="1" ht="30" customHeight="1">
      <c r="A142" s="270" t="s">
        <v>206</v>
      </c>
      <c r="B142" s="271">
        <f t="shared" si="5"/>
        <v>6651</v>
      </c>
      <c r="C142" s="375">
        <f>'1.1. ПРОФ.МЕРОПРИЯТИЯ'!I11</f>
        <v>6651</v>
      </c>
      <c r="D142" s="376"/>
      <c r="E142" s="377"/>
      <c r="F142" s="231"/>
      <c r="G142" s="231"/>
      <c r="I142" s="276"/>
      <c r="J142" s="276"/>
      <c r="K142" s="276"/>
    </row>
    <row r="143" spans="1:11" s="538" customFormat="1" ht="17.25" customHeight="1">
      <c r="A143" s="533" t="s">
        <v>422</v>
      </c>
      <c r="B143" s="522">
        <f t="shared" si="5"/>
        <v>12183</v>
      </c>
      <c r="C143" s="534">
        <f>'1.2. Диспансерное наблюдение'!D17</f>
        <v>12183</v>
      </c>
      <c r="D143" s="523"/>
      <c r="E143" s="524"/>
      <c r="G143" s="231"/>
      <c r="I143" s="362"/>
      <c r="J143" s="362"/>
      <c r="K143" s="362"/>
    </row>
    <row r="144" spans="1:11" s="275" customFormat="1" ht="15" customHeight="1">
      <c r="A144" s="254" t="s">
        <v>70</v>
      </c>
      <c r="B144" s="256">
        <f t="shared" si="5"/>
        <v>3365</v>
      </c>
      <c r="C144" s="369">
        <v>871</v>
      </c>
      <c r="D144" s="370">
        <v>235</v>
      </c>
      <c r="E144" s="371">
        <v>779</v>
      </c>
      <c r="F144" s="231"/>
      <c r="G144" s="231"/>
      <c r="I144" s="276"/>
      <c r="J144" s="276"/>
      <c r="K144" s="276"/>
    </row>
    <row r="145" spans="1:11" s="275" customFormat="1" ht="15" customHeight="1">
      <c r="A145" s="251" t="s">
        <v>77</v>
      </c>
      <c r="B145" s="256">
        <f t="shared" si="5"/>
        <v>975</v>
      </c>
      <c r="C145" s="369">
        <v>252</v>
      </c>
      <c r="D145" s="370">
        <v>68</v>
      </c>
      <c r="E145" s="371">
        <v>226</v>
      </c>
      <c r="F145" s="231"/>
      <c r="G145" s="231"/>
      <c r="I145" s="276"/>
      <c r="J145" s="276"/>
      <c r="K145" s="276"/>
    </row>
    <row r="146" spans="1:11" s="275" customFormat="1" ht="15" customHeight="1">
      <c r="A146" s="251" t="s">
        <v>47</v>
      </c>
      <c r="B146" s="256">
        <f t="shared" si="5"/>
        <v>7763</v>
      </c>
      <c r="C146" s="369">
        <v>1766</v>
      </c>
      <c r="D146" s="370">
        <v>478</v>
      </c>
      <c r="E146" s="371">
        <v>1903</v>
      </c>
      <c r="F146" s="231"/>
      <c r="G146" s="231"/>
      <c r="I146" s="276"/>
      <c r="J146" s="276"/>
      <c r="K146" s="276"/>
    </row>
    <row r="147" spans="1:5" ht="13.5" customHeight="1">
      <c r="A147" s="244" t="s">
        <v>9</v>
      </c>
      <c r="B147" s="257">
        <f t="shared" si="5"/>
        <v>4876</v>
      </c>
      <c r="C147" s="369">
        <v>1261</v>
      </c>
      <c r="D147" s="370">
        <v>341</v>
      </c>
      <c r="E147" s="371">
        <v>1129</v>
      </c>
    </row>
    <row r="148" spans="1:5" ht="13.5" customHeight="1">
      <c r="A148" s="251" t="s">
        <v>13</v>
      </c>
      <c r="B148" s="258">
        <f t="shared" si="5"/>
        <v>1024</v>
      </c>
      <c r="C148" s="369">
        <v>265</v>
      </c>
      <c r="D148" s="370">
        <v>72</v>
      </c>
      <c r="E148" s="371">
        <v>237</v>
      </c>
    </row>
    <row r="149" spans="1:5" ht="13.5" customHeight="1">
      <c r="A149" s="244" t="s">
        <v>423</v>
      </c>
      <c r="B149" s="257">
        <f t="shared" si="5"/>
        <v>5536</v>
      </c>
      <c r="C149" s="369">
        <v>1433</v>
      </c>
      <c r="D149" s="370">
        <v>388</v>
      </c>
      <c r="E149" s="371">
        <v>1281</v>
      </c>
    </row>
    <row r="150" spans="1:5" ht="13.5" customHeight="1">
      <c r="A150" s="533" t="s">
        <v>444</v>
      </c>
      <c r="B150" s="522">
        <f t="shared" si="5"/>
        <v>231</v>
      </c>
      <c r="C150" s="535">
        <f>'1.2. Диспансерное наблюдение'!D11</f>
        <v>231</v>
      </c>
      <c r="D150" s="370"/>
      <c r="E150" s="371"/>
    </row>
    <row r="151" spans="1:5" ht="13.5" customHeight="1">
      <c r="A151" s="244" t="s">
        <v>414</v>
      </c>
      <c r="B151" s="257">
        <f t="shared" si="5"/>
        <v>14490</v>
      </c>
      <c r="C151" s="369">
        <v>3749</v>
      </c>
      <c r="D151" s="370">
        <v>1014</v>
      </c>
      <c r="E151" s="371">
        <v>3354</v>
      </c>
    </row>
    <row r="152" spans="1:5" ht="13.5" customHeight="1">
      <c r="A152" s="533" t="s">
        <v>444</v>
      </c>
      <c r="B152" s="522">
        <f>ROUND(C152+D152+E152*2.9,0)</f>
        <v>1127</v>
      </c>
      <c r="C152" s="535">
        <f>'1.2. Диспансерное наблюдение'!D13</f>
        <v>1127</v>
      </c>
      <c r="D152" s="370"/>
      <c r="E152" s="371"/>
    </row>
    <row r="153" spans="1:5" ht="13.5" customHeight="1">
      <c r="A153" s="245" t="s">
        <v>416</v>
      </c>
      <c r="B153" s="257">
        <f aca="true" t="shared" si="6" ref="B153:B161">ROUND(C153+D153+E153*2.9,0)</f>
        <v>11918</v>
      </c>
      <c r="C153" s="382">
        <v>3083</v>
      </c>
      <c r="D153" s="370">
        <v>834</v>
      </c>
      <c r="E153" s="371">
        <v>2759</v>
      </c>
    </row>
    <row r="154" spans="1:5" ht="13.5" customHeight="1">
      <c r="A154" s="533" t="s">
        <v>444</v>
      </c>
      <c r="B154" s="522">
        <f t="shared" si="6"/>
        <v>263</v>
      </c>
      <c r="C154" s="535">
        <f>'1.2. Диспансерное наблюдение'!D15</f>
        <v>263</v>
      </c>
      <c r="D154" s="370"/>
      <c r="E154" s="371"/>
    </row>
    <row r="155" spans="1:5" ht="13.5" customHeight="1">
      <c r="A155" s="251" t="s">
        <v>417</v>
      </c>
      <c r="B155" s="256">
        <f t="shared" si="6"/>
        <v>12628</v>
      </c>
      <c r="C155" s="369">
        <v>3267</v>
      </c>
      <c r="D155" s="370">
        <v>884</v>
      </c>
      <c r="E155" s="371">
        <v>2923</v>
      </c>
    </row>
    <row r="156" spans="1:5" ht="13.5" customHeight="1">
      <c r="A156" s="533" t="s">
        <v>444</v>
      </c>
      <c r="B156" s="522">
        <f>ROUND(C156+D156+E156*2.9,0)</f>
        <v>611</v>
      </c>
      <c r="C156" s="535">
        <f>'1.2. Диспансерное наблюдение'!D16</f>
        <v>611</v>
      </c>
      <c r="D156" s="370"/>
      <c r="E156" s="371"/>
    </row>
    <row r="157" spans="1:5" ht="13.5" customHeight="1">
      <c r="A157" s="251" t="s">
        <v>10</v>
      </c>
      <c r="B157" s="256">
        <f t="shared" si="6"/>
        <v>975</v>
      </c>
      <c r="C157" s="369">
        <v>252</v>
      </c>
      <c r="D157" s="370">
        <v>68</v>
      </c>
      <c r="E157" s="371">
        <v>226</v>
      </c>
    </row>
    <row r="158" spans="1:5" ht="25.5" customHeight="1">
      <c r="A158" s="236" t="s">
        <v>81</v>
      </c>
      <c r="B158" s="258">
        <f t="shared" si="6"/>
        <v>19599</v>
      </c>
      <c r="C158" s="369">
        <v>15473</v>
      </c>
      <c r="D158" s="370">
        <v>568</v>
      </c>
      <c r="E158" s="371">
        <v>1227</v>
      </c>
    </row>
    <row r="159" spans="1:5" ht="13.5" customHeight="1">
      <c r="A159" s="244" t="s">
        <v>424</v>
      </c>
      <c r="B159" s="257">
        <f t="shared" si="6"/>
        <v>27176</v>
      </c>
      <c r="C159" s="369">
        <v>7030</v>
      </c>
      <c r="D159" s="370">
        <v>1902</v>
      </c>
      <c r="E159" s="371">
        <v>6291</v>
      </c>
    </row>
    <row r="160" spans="1:5" ht="13.5" customHeight="1">
      <c r="A160" s="533" t="s">
        <v>444</v>
      </c>
      <c r="B160" s="522">
        <f t="shared" si="6"/>
        <v>140</v>
      </c>
      <c r="C160" s="535">
        <f>'1.2. Диспансерное наблюдение'!D18</f>
        <v>140</v>
      </c>
      <c r="D160" s="370"/>
      <c r="E160" s="371"/>
    </row>
    <row r="161" spans="1:5" ht="13.5" customHeight="1">
      <c r="A161" s="244" t="s">
        <v>419</v>
      </c>
      <c r="B161" s="257">
        <f t="shared" si="6"/>
        <v>9590</v>
      </c>
      <c r="C161" s="369">
        <v>2481</v>
      </c>
      <c r="D161" s="370">
        <v>671</v>
      </c>
      <c r="E161" s="371">
        <v>2220</v>
      </c>
    </row>
    <row r="162" spans="1:5" ht="13.5" customHeight="1">
      <c r="A162" s="533" t="s">
        <v>444</v>
      </c>
      <c r="B162" s="522">
        <f aca="true" t="shared" si="7" ref="B162:B168">ROUND(C162+D162+E162*2.9,0)</f>
        <v>246</v>
      </c>
      <c r="C162" s="535">
        <f>'1.2. Диспансерное наблюдение'!D19</f>
        <v>246</v>
      </c>
      <c r="D162" s="370"/>
      <c r="E162" s="371"/>
    </row>
    <row r="163" spans="1:5" ht="13.5" customHeight="1">
      <c r="A163" s="244" t="s">
        <v>425</v>
      </c>
      <c r="B163" s="257">
        <f t="shared" si="7"/>
        <v>14896</v>
      </c>
      <c r="C163" s="369">
        <v>3854</v>
      </c>
      <c r="D163" s="370">
        <v>1043</v>
      </c>
      <c r="E163" s="371">
        <v>3448</v>
      </c>
    </row>
    <row r="164" spans="1:5" ht="13.5" customHeight="1">
      <c r="A164" s="533" t="s">
        <v>444</v>
      </c>
      <c r="B164" s="522">
        <f t="shared" si="7"/>
        <v>351</v>
      </c>
      <c r="C164" s="535">
        <f>'1.2. Диспансерное наблюдение'!D20</f>
        <v>351</v>
      </c>
      <c r="D164" s="370"/>
      <c r="E164" s="371"/>
    </row>
    <row r="165" spans="1:5" ht="13.5" customHeight="1">
      <c r="A165" s="254" t="s">
        <v>426</v>
      </c>
      <c r="B165" s="256">
        <f t="shared" si="7"/>
        <v>9699</v>
      </c>
      <c r="C165" s="369">
        <v>2509</v>
      </c>
      <c r="D165" s="370">
        <v>679</v>
      </c>
      <c r="E165" s="371">
        <v>2245</v>
      </c>
    </row>
    <row r="166" spans="1:5" ht="13.5" customHeight="1">
      <c r="A166" s="533" t="s">
        <v>444</v>
      </c>
      <c r="B166" s="522">
        <f t="shared" si="7"/>
        <v>1003</v>
      </c>
      <c r="C166" s="535">
        <f>'1.2. Диспансерное наблюдение'!D21</f>
        <v>1003</v>
      </c>
      <c r="D166" s="370"/>
      <c r="E166" s="370"/>
    </row>
    <row r="167" spans="1:5" ht="13.5" customHeight="1">
      <c r="A167" s="254" t="s">
        <v>247</v>
      </c>
      <c r="B167" s="256">
        <f t="shared" si="7"/>
        <v>833</v>
      </c>
      <c r="C167" s="369">
        <v>215</v>
      </c>
      <c r="D167" s="370">
        <v>58</v>
      </c>
      <c r="E167" s="370">
        <v>193</v>
      </c>
    </row>
    <row r="168" spans="1:5" ht="13.5" customHeight="1">
      <c r="A168" s="254" t="s">
        <v>73</v>
      </c>
      <c r="B168" s="256">
        <f t="shared" si="7"/>
        <v>2438</v>
      </c>
      <c r="C168" s="369">
        <v>631</v>
      </c>
      <c r="D168" s="370">
        <v>171</v>
      </c>
      <c r="E168" s="370">
        <v>564</v>
      </c>
    </row>
    <row r="169" spans="1:5" ht="16.5" customHeight="1">
      <c r="A169" s="251" t="s">
        <v>217</v>
      </c>
      <c r="B169" s="258">
        <f aca="true" t="shared" si="8" ref="B169:B175">ROUND(C169+D169+E169*2.9,0)</f>
        <v>144151</v>
      </c>
      <c r="C169" s="369">
        <f>C170+C171</f>
        <v>20286</v>
      </c>
      <c r="D169" s="369">
        <f>D170+D171</f>
        <v>10910</v>
      </c>
      <c r="E169" s="369">
        <f>E170+E171</f>
        <v>38950</v>
      </c>
    </row>
    <row r="170" spans="1:7" s="248" customFormat="1" ht="16.5" customHeight="1">
      <c r="A170" s="297" t="s">
        <v>218</v>
      </c>
      <c r="B170" s="258">
        <f t="shared" si="8"/>
        <v>109842</v>
      </c>
      <c r="C170" s="375">
        <v>12546</v>
      </c>
      <c r="D170" s="376">
        <v>7689</v>
      </c>
      <c r="E170" s="377">
        <v>30899</v>
      </c>
      <c r="F170" s="231"/>
      <c r="G170" s="231"/>
    </row>
    <row r="171" spans="1:7" s="248" customFormat="1" ht="16.5" customHeight="1">
      <c r="A171" s="297" t="s">
        <v>219</v>
      </c>
      <c r="B171" s="258">
        <f t="shared" si="8"/>
        <v>34309</v>
      </c>
      <c r="C171" s="375">
        <v>7740</v>
      </c>
      <c r="D171" s="376">
        <v>3221</v>
      </c>
      <c r="E171" s="377">
        <v>8051</v>
      </c>
      <c r="F171" s="231"/>
      <c r="G171" s="231"/>
    </row>
    <row r="172" spans="1:5" ht="16.5" customHeight="1">
      <c r="A172" s="251" t="s">
        <v>220</v>
      </c>
      <c r="B172" s="258">
        <f t="shared" si="8"/>
        <v>3753</v>
      </c>
      <c r="C172" s="369">
        <f>SUM(C173:C174)</f>
        <v>3753</v>
      </c>
      <c r="D172" s="369">
        <f>SUM(D173:D174)</f>
        <v>0</v>
      </c>
      <c r="E172" s="369">
        <f>SUM(E173:E174)</f>
        <v>0</v>
      </c>
    </row>
    <row r="173" spans="1:7" s="248" customFormat="1" ht="16.5" customHeight="1">
      <c r="A173" s="297" t="s">
        <v>221</v>
      </c>
      <c r="B173" s="258">
        <f t="shared" si="8"/>
        <v>0</v>
      </c>
      <c r="C173" s="589">
        <f>2236-2236</f>
        <v>0</v>
      </c>
      <c r="D173" s="376">
        <v>0</v>
      </c>
      <c r="E173" s="377">
        <v>0</v>
      </c>
      <c r="F173" s="231"/>
      <c r="G173" s="231"/>
    </row>
    <row r="174" spans="1:7" s="248" customFormat="1" ht="16.5" customHeight="1">
      <c r="A174" s="297" t="s">
        <v>222</v>
      </c>
      <c r="B174" s="258">
        <f t="shared" si="8"/>
        <v>3753</v>
      </c>
      <c r="C174" s="375">
        <v>3753</v>
      </c>
      <c r="D174" s="376">
        <v>0</v>
      </c>
      <c r="E174" s="377">
        <v>0</v>
      </c>
      <c r="F174" s="231"/>
      <c r="G174" s="231"/>
    </row>
    <row r="175" spans="1:9" s="248" customFormat="1" ht="16.5" customHeight="1" thickBot="1">
      <c r="A175" s="384" t="s">
        <v>72</v>
      </c>
      <c r="B175" s="258">
        <f t="shared" si="8"/>
        <v>571</v>
      </c>
      <c r="C175" s="504">
        <v>0</v>
      </c>
      <c r="D175" s="505">
        <v>0</v>
      </c>
      <c r="E175" s="506">
        <v>197</v>
      </c>
      <c r="F175" s="232"/>
      <c r="G175" s="232"/>
      <c r="H175" s="232"/>
      <c r="I175" s="232"/>
    </row>
    <row r="176" spans="1:9" ht="32.25" customHeight="1" thickBot="1">
      <c r="A176" s="241" t="s">
        <v>443</v>
      </c>
      <c r="B176" s="327">
        <f>B136+B138+B144+B145+B146+B147+B148+B149+B151+B153+B155+B157+B158+B159+B161+B163+B165+B167+B168+B169+B172+B175</f>
        <v>438562</v>
      </c>
      <c r="C176" s="327">
        <f>C136+C138+C144+C145+C146+C147+C148+C149+C151+C153+C155+C157+C158+C159+C161+C163+C165+C167+C168+C169+C172+C175</f>
        <v>125517</v>
      </c>
      <c r="D176" s="327">
        <f>D136+D138+D144+D145+D146+D147+D148+D149+D151+D153+D155+D157+D158+D159+D161+D163+D165+D167+D168+D169+D172+D175</f>
        <v>31380</v>
      </c>
      <c r="E176" s="327">
        <f>E136+E138+E144+E145+E146+E147+E148+E149+E151+E153+E155+E157+E158+E159+E161+E163+E165+E167+E168+E169+E172+E175</f>
        <v>97126</v>
      </c>
      <c r="H176" s="232"/>
      <c r="I176" s="545"/>
    </row>
    <row r="177" spans="1:6" ht="30" customHeight="1" thickBot="1">
      <c r="A177" s="533" t="s">
        <v>444</v>
      </c>
      <c r="B177" s="522">
        <f>C177</f>
        <v>16452</v>
      </c>
      <c r="C177" s="542">
        <f>C166+C164+C162+C160+C156+C154+C152+C150+C143+C137</f>
        <v>16452</v>
      </c>
      <c r="D177" s="523"/>
      <c r="E177" s="524"/>
      <c r="F177" s="540"/>
    </row>
    <row r="178" spans="1:5" ht="20.25" customHeight="1" hidden="1" thickBot="1">
      <c r="A178" s="597"/>
      <c r="B178" s="598"/>
      <c r="C178" s="598"/>
      <c r="D178" s="598"/>
      <c r="E178" s="598"/>
    </row>
    <row r="179" spans="1:5" ht="23.25" customHeight="1" hidden="1">
      <c r="A179" s="244"/>
      <c r="B179" s="257"/>
      <c r="C179" s="318"/>
      <c r="D179" s="319"/>
      <c r="E179" s="320"/>
    </row>
    <row r="180" spans="1:5" ht="16.5" customHeight="1" hidden="1" thickBot="1">
      <c r="A180" s="255"/>
      <c r="B180" s="257"/>
      <c r="C180" s="321"/>
      <c r="D180" s="319"/>
      <c r="E180" s="320"/>
    </row>
    <row r="181" spans="1:6" ht="18.75" customHeight="1" hidden="1" thickBot="1">
      <c r="A181" s="241"/>
      <c r="B181" s="243"/>
      <c r="C181" s="327"/>
      <c r="D181" s="327"/>
      <c r="E181" s="340"/>
      <c r="F181" s="240"/>
    </row>
    <row r="182" spans="1:5" ht="20.25" customHeight="1" hidden="1" thickBot="1">
      <c r="A182" s="597"/>
      <c r="B182" s="598"/>
      <c r="C182" s="598"/>
      <c r="D182" s="598"/>
      <c r="E182" s="598"/>
    </row>
    <row r="183" spans="1:6" ht="18.75" customHeight="1" hidden="1">
      <c r="A183" s="254"/>
      <c r="B183" s="256"/>
      <c r="C183" s="339"/>
      <c r="D183" s="341"/>
      <c r="E183" s="342"/>
      <c r="F183" s="240"/>
    </row>
    <row r="184" spans="1:11" s="275" customFormat="1" ht="45" customHeight="1" hidden="1">
      <c r="A184" s="270"/>
      <c r="B184" s="271"/>
      <c r="C184" s="324"/>
      <c r="D184" s="325"/>
      <c r="E184" s="326"/>
      <c r="G184" s="231"/>
      <c r="I184" s="276"/>
      <c r="J184" s="276"/>
      <c r="K184" s="276"/>
    </row>
    <row r="185" spans="1:11" s="275" customFormat="1" ht="27.75" customHeight="1" hidden="1">
      <c r="A185" s="270"/>
      <c r="B185" s="271"/>
      <c r="C185" s="324"/>
      <c r="D185" s="325"/>
      <c r="E185" s="326"/>
      <c r="F185" s="276"/>
      <c r="G185" s="231"/>
      <c r="I185" s="276"/>
      <c r="J185" s="276"/>
      <c r="K185" s="276"/>
    </row>
    <row r="186" spans="1:11" s="275" customFormat="1" ht="33.75" customHeight="1" hidden="1">
      <c r="A186" s="270"/>
      <c r="B186" s="271"/>
      <c r="C186" s="324"/>
      <c r="D186" s="325"/>
      <c r="E186" s="326"/>
      <c r="F186" s="276"/>
      <c r="G186" s="231"/>
      <c r="I186" s="276"/>
      <c r="J186" s="276"/>
      <c r="K186" s="276"/>
    </row>
    <row r="187" spans="1:6" ht="21" customHeight="1" hidden="1">
      <c r="A187" s="254"/>
      <c r="B187" s="256"/>
      <c r="C187" s="339"/>
      <c r="D187" s="341"/>
      <c r="E187" s="342"/>
      <c r="F187" s="240"/>
    </row>
    <row r="188" spans="1:13" s="272" customFormat="1" ht="15" hidden="1">
      <c r="A188" s="270"/>
      <c r="B188" s="271"/>
      <c r="C188" s="324"/>
      <c r="D188" s="325"/>
      <c r="E188" s="326"/>
      <c r="G188" s="231"/>
      <c r="H188" s="274"/>
      <c r="I188" s="273"/>
      <c r="J188" s="273"/>
      <c r="K188" s="273"/>
      <c r="M188" s="273"/>
    </row>
    <row r="189" spans="1:13" s="272" customFormat="1" ht="15" hidden="1">
      <c r="A189" s="270"/>
      <c r="B189" s="271"/>
      <c r="C189" s="324"/>
      <c r="D189" s="325"/>
      <c r="E189" s="326"/>
      <c r="G189" s="231"/>
      <c r="H189" s="274"/>
      <c r="I189" s="273"/>
      <c r="J189" s="273"/>
      <c r="K189" s="273"/>
      <c r="M189" s="273"/>
    </row>
    <row r="190" spans="1:13" s="272" customFormat="1" ht="15" hidden="1">
      <c r="A190" s="270"/>
      <c r="B190" s="271"/>
      <c r="C190" s="324"/>
      <c r="D190" s="325"/>
      <c r="E190" s="326"/>
      <c r="G190" s="231"/>
      <c r="H190" s="274"/>
      <c r="I190" s="273"/>
      <c r="J190" s="273"/>
      <c r="K190" s="273"/>
      <c r="M190" s="273"/>
    </row>
    <row r="191" spans="1:13" s="272" customFormat="1" ht="15" hidden="1">
      <c r="A191" s="270"/>
      <c r="B191" s="271"/>
      <c r="C191" s="324"/>
      <c r="D191" s="325"/>
      <c r="E191" s="326"/>
      <c r="F191" s="273"/>
      <c r="G191" s="231"/>
      <c r="H191" s="274"/>
      <c r="I191" s="273"/>
      <c r="J191" s="273"/>
      <c r="K191" s="273"/>
      <c r="M191" s="273"/>
    </row>
    <row r="192" spans="1:6" ht="17.25" customHeight="1" hidden="1">
      <c r="A192" s="254"/>
      <c r="B192" s="256"/>
      <c r="C192" s="339"/>
      <c r="D192" s="337"/>
      <c r="E192" s="338"/>
      <c r="F192" s="240"/>
    </row>
    <row r="193" spans="1:6" ht="14.25" customHeight="1" hidden="1">
      <c r="A193" s="254"/>
      <c r="B193" s="256"/>
      <c r="C193" s="339"/>
      <c r="D193" s="337"/>
      <c r="E193" s="338"/>
      <c r="F193" s="240"/>
    </row>
    <row r="194" spans="1:6" ht="14.25" customHeight="1" hidden="1">
      <c r="A194" s="254"/>
      <c r="B194" s="256"/>
      <c r="C194" s="339"/>
      <c r="D194" s="337"/>
      <c r="E194" s="338"/>
      <c r="F194" s="240"/>
    </row>
    <row r="195" spans="1:6" ht="13.5" customHeight="1" hidden="1">
      <c r="A195" s="254"/>
      <c r="B195" s="256"/>
      <c r="C195" s="339"/>
      <c r="D195" s="337"/>
      <c r="E195" s="338"/>
      <c r="F195" s="240"/>
    </row>
    <row r="196" spans="1:6" ht="13.5" customHeight="1" hidden="1">
      <c r="A196" s="254"/>
      <c r="B196" s="256"/>
      <c r="C196" s="339"/>
      <c r="D196" s="337"/>
      <c r="E196" s="338"/>
      <c r="F196" s="240"/>
    </row>
    <row r="197" spans="1:6" ht="15.75" customHeight="1" hidden="1">
      <c r="A197" s="254"/>
      <c r="B197" s="256"/>
      <c r="C197" s="339"/>
      <c r="D197" s="341"/>
      <c r="E197" s="342"/>
      <c r="F197" s="240"/>
    </row>
    <row r="198" spans="1:6" ht="13.5" customHeight="1" hidden="1">
      <c r="A198" s="244"/>
      <c r="B198" s="256"/>
      <c r="C198" s="336"/>
      <c r="D198" s="337"/>
      <c r="E198" s="338"/>
      <c r="F198" s="240"/>
    </row>
    <row r="199" spans="1:6" ht="13.5" customHeight="1" hidden="1">
      <c r="A199" s="254"/>
      <c r="B199" s="256"/>
      <c r="C199" s="339"/>
      <c r="D199" s="337"/>
      <c r="E199" s="338"/>
      <c r="F199" s="240"/>
    </row>
    <row r="200" spans="1:6" ht="14.25" customHeight="1" hidden="1">
      <c r="A200" s="254"/>
      <c r="B200" s="256"/>
      <c r="C200" s="339"/>
      <c r="D200" s="337"/>
      <c r="E200" s="338"/>
      <c r="F200" s="240"/>
    </row>
    <row r="201" spans="1:6" ht="15" customHeight="1" hidden="1">
      <c r="A201" s="254"/>
      <c r="B201" s="256"/>
      <c r="C201" s="339"/>
      <c r="D201" s="337"/>
      <c r="E201" s="338"/>
      <c r="F201" s="240"/>
    </row>
    <row r="202" spans="1:6" ht="28.5" customHeight="1" hidden="1">
      <c r="A202" s="254"/>
      <c r="B202" s="256"/>
      <c r="C202" s="339"/>
      <c r="D202" s="337"/>
      <c r="E202" s="338"/>
      <c r="F202" s="240"/>
    </row>
    <row r="203" spans="1:7" s="248" customFormat="1" ht="15.75" hidden="1" thickBot="1">
      <c r="A203" s="259"/>
      <c r="B203" s="256"/>
      <c r="C203" s="329"/>
      <c r="D203" s="330"/>
      <c r="E203" s="343"/>
      <c r="F203" s="240"/>
      <c r="G203" s="231"/>
    </row>
    <row r="204" spans="1:8" ht="17.25" customHeight="1" hidden="1" thickBot="1">
      <c r="A204" s="241"/>
      <c r="B204" s="243"/>
      <c r="C204" s="327"/>
      <c r="D204" s="327"/>
      <c r="E204" s="327"/>
      <c r="F204" s="240"/>
      <c r="H204" s="232"/>
    </row>
    <row r="205" spans="1:5" ht="20.25" customHeight="1" hidden="1" thickBot="1">
      <c r="A205" s="597"/>
      <c r="B205" s="598"/>
      <c r="C205" s="598"/>
      <c r="D205" s="598"/>
      <c r="E205" s="598"/>
    </row>
    <row r="206" spans="1:5" ht="18" customHeight="1" hidden="1">
      <c r="A206" s="254"/>
      <c r="B206" s="256"/>
      <c r="C206" s="339"/>
      <c r="D206" s="337"/>
      <c r="E206" s="338"/>
    </row>
    <row r="207" spans="1:11" s="275" customFormat="1" ht="44.25" customHeight="1" hidden="1">
      <c r="A207" s="270"/>
      <c r="B207" s="271"/>
      <c r="C207" s="324"/>
      <c r="D207" s="325"/>
      <c r="E207" s="326"/>
      <c r="G207" s="231"/>
      <c r="I207" s="276"/>
      <c r="J207" s="276"/>
      <c r="K207" s="276"/>
    </row>
    <row r="208" spans="1:11" s="275" customFormat="1" ht="31.5" customHeight="1" hidden="1">
      <c r="A208" s="270"/>
      <c r="B208" s="271"/>
      <c r="C208" s="324"/>
      <c r="D208" s="325"/>
      <c r="E208" s="326"/>
      <c r="F208" s="276"/>
      <c r="G208" s="231"/>
      <c r="I208" s="276"/>
      <c r="J208" s="276"/>
      <c r="K208" s="276"/>
    </row>
    <row r="209" spans="1:11" s="275" customFormat="1" ht="33" customHeight="1" hidden="1">
      <c r="A209" s="270"/>
      <c r="B209" s="271"/>
      <c r="C209" s="324"/>
      <c r="D209" s="325"/>
      <c r="E209" s="326"/>
      <c r="F209" s="276"/>
      <c r="G209" s="231"/>
      <c r="I209" s="276"/>
      <c r="J209" s="276"/>
      <c r="K209" s="276"/>
    </row>
    <row r="210" spans="1:5" ht="18" customHeight="1" hidden="1">
      <c r="A210" s="254"/>
      <c r="B210" s="256"/>
      <c r="C210" s="339"/>
      <c r="D210" s="337"/>
      <c r="E210" s="338"/>
    </row>
    <row r="211" spans="1:13" s="272" customFormat="1" ht="15" hidden="1">
      <c r="A211" s="270"/>
      <c r="B211" s="271"/>
      <c r="C211" s="324"/>
      <c r="D211" s="325"/>
      <c r="E211" s="326"/>
      <c r="G211" s="231"/>
      <c r="H211" s="274"/>
      <c r="I211" s="273"/>
      <c r="J211" s="273"/>
      <c r="K211" s="273"/>
      <c r="M211" s="273"/>
    </row>
    <row r="212" spans="1:13" s="272" customFormat="1" ht="15" hidden="1">
      <c r="A212" s="270"/>
      <c r="B212" s="271"/>
      <c r="C212" s="324"/>
      <c r="D212" s="325"/>
      <c r="E212" s="326"/>
      <c r="G212" s="231"/>
      <c r="H212" s="274"/>
      <c r="I212" s="273"/>
      <c r="J212" s="273"/>
      <c r="K212" s="273"/>
      <c r="M212" s="273"/>
    </row>
    <row r="213" spans="1:13" s="272" customFormat="1" ht="15" hidden="1">
      <c r="A213" s="270"/>
      <c r="B213" s="271"/>
      <c r="C213" s="324"/>
      <c r="D213" s="325"/>
      <c r="E213" s="326"/>
      <c r="G213" s="231"/>
      <c r="H213" s="274"/>
      <c r="I213" s="273"/>
      <c r="J213" s="273"/>
      <c r="K213" s="273"/>
      <c r="M213" s="273"/>
    </row>
    <row r="214" spans="1:13" s="272" customFormat="1" ht="15" hidden="1">
      <c r="A214" s="270"/>
      <c r="B214" s="271"/>
      <c r="C214" s="324"/>
      <c r="D214" s="325"/>
      <c r="E214" s="326"/>
      <c r="F214" s="273"/>
      <c r="G214" s="231"/>
      <c r="H214" s="274"/>
      <c r="I214" s="273"/>
      <c r="J214" s="273"/>
      <c r="K214" s="273"/>
      <c r="M214" s="273"/>
    </row>
    <row r="215" spans="1:6" ht="17.25" customHeight="1" hidden="1">
      <c r="A215" s="254"/>
      <c r="B215" s="256"/>
      <c r="C215" s="339"/>
      <c r="D215" s="337"/>
      <c r="E215" s="338"/>
      <c r="F215" s="240"/>
    </row>
    <row r="216" spans="1:6" ht="17.25" customHeight="1" hidden="1">
      <c r="A216" s="254"/>
      <c r="B216" s="256"/>
      <c r="C216" s="339"/>
      <c r="D216" s="337"/>
      <c r="E216" s="338"/>
      <c r="F216" s="240"/>
    </row>
    <row r="217" spans="1:6" ht="18.75" customHeight="1" hidden="1">
      <c r="A217" s="254"/>
      <c r="B217" s="256"/>
      <c r="C217" s="339"/>
      <c r="D217" s="337"/>
      <c r="E217" s="338"/>
      <c r="F217" s="240"/>
    </row>
    <row r="218" spans="1:6" ht="13.5" customHeight="1" hidden="1">
      <c r="A218" s="254"/>
      <c r="B218" s="256"/>
      <c r="C218" s="339"/>
      <c r="D218" s="337"/>
      <c r="E218" s="338"/>
      <c r="F218" s="240"/>
    </row>
    <row r="219" spans="1:6" ht="13.5" customHeight="1" hidden="1">
      <c r="A219" s="354"/>
      <c r="B219" s="256"/>
      <c r="C219" s="339"/>
      <c r="D219" s="337"/>
      <c r="E219" s="338"/>
      <c r="F219" s="240"/>
    </row>
    <row r="220" spans="1:6" ht="13.5" customHeight="1" hidden="1">
      <c r="A220" s="254"/>
      <c r="B220" s="256"/>
      <c r="C220" s="339"/>
      <c r="D220" s="337"/>
      <c r="E220" s="338"/>
      <c r="F220" s="240"/>
    </row>
    <row r="221" spans="1:6" ht="15.75" customHeight="1" hidden="1">
      <c r="A221" s="254"/>
      <c r="B221" s="256"/>
      <c r="C221" s="339"/>
      <c r="D221" s="341"/>
      <c r="E221" s="342"/>
      <c r="F221" s="240"/>
    </row>
    <row r="222" spans="1:6" ht="15" customHeight="1" hidden="1">
      <c r="A222" s="244"/>
      <c r="B222" s="256"/>
      <c r="C222" s="336"/>
      <c r="D222" s="337"/>
      <c r="E222" s="338"/>
      <c r="F222" s="240"/>
    </row>
    <row r="223" spans="1:6" ht="14.25" customHeight="1" hidden="1">
      <c r="A223" s="254"/>
      <c r="B223" s="256"/>
      <c r="C223" s="339"/>
      <c r="D223" s="337"/>
      <c r="E223" s="338"/>
      <c r="F223" s="240"/>
    </row>
    <row r="224" spans="1:7" s="248" customFormat="1" ht="28.5" customHeight="1" hidden="1" thickBot="1">
      <c r="A224" s="254"/>
      <c r="B224" s="256"/>
      <c r="C224" s="339"/>
      <c r="D224" s="337"/>
      <c r="E224" s="338"/>
      <c r="F224" s="240"/>
      <c r="G224" s="231"/>
    </row>
    <row r="225" spans="1:6" ht="18" customHeight="1" hidden="1" thickBot="1">
      <c r="A225" s="241"/>
      <c r="B225" s="243"/>
      <c r="C225" s="327"/>
      <c r="D225" s="327"/>
      <c r="E225" s="328"/>
      <c r="F225" s="240"/>
    </row>
    <row r="226" spans="1:5" ht="18.75" customHeight="1" hidden="1" thickBot="1">
      <c r="A226" s="604"/>
      <c r="B226" s="605"/>
      <c r="C226" s="605"/>
      <c r="D226" s="605"/>
      <c r="E226" s="605"/>
    </row>
    <row r="227" spans="1:5" ht="18.75" customHeight="1" hidden="1">
      <c r="A227" s="279"/>
      <c r="B227" s="280"/>
      <c r="C227" s="344"/>
      <c r="D227" s="344"/>
      <c r="E227" s="345"/>
    </row>
    <row r="228" spans="1:11" s="275" customFormat="1" ht="46.5" customHeight="1" hidden="1">
      <c r="A228" s="281"/>
      <c r="B228" s="278"/>
      <c r="C228" s="324"/>
      <c r="D228" s="324"/>
      <c r="E228" s="346"/>
      <c r="G228" s="231"/>
      <c r="I228" s="276"/>
      <c r="J228" s="276"/>
      <c r="K228" s="276"/>
    </row>
    <row r="229" spans="1:11" s="275" customFormat="1" ht="29.25" customHeight="1" hidden="1">
      <c r="A229" s="281"/>
      <c r="B229" s="278"/>
      <c r="C229" s="324"/>
      <c r="D229" s="324"/>
      <c r="E229" s="346"/>
      <c r="F229" s="276"/>
      <c r="G229" s="231"/>
      <c r="I229" s="276"/>
      <c r="J229" s="276"/>
      <c r="K229" s="276"/>
    </row>
    <row r="230" spans="1:11" s="275" customFormat="1" ht="28.5" customHeight="1" hidden="1">
      <c r="A230" s="281"/>
      <c r="B230" s="278"/>
      <c r="C230" s="324"/>
      <c r="D230" s="324"/>
      <c r="E230" s="346"/>
      <c r="F230" s="276"/>
      <c r="G230" s="231"/>
      <c r="I230" s="276"/>
      <c r="J230" s="276"/>
      <c r="K230" s="276"/>
    </row>
    <row r="231" spans="1:5" ht="15" hidden="1">
      <c r="A231" s="254"/>
      <c r="B231" s="256"/>
      <c r="C231" s="339"/>
      <c r="D231" s="339"/>
      <c r="E231" s="342"/>
    </row>
    <row r="232" spans="1:13" s="272" customFormat="1" ht="15" hidden="1">
      <c r="A232" s="281"/>
      <c r="B232" s="278"/>
      <c r="C232" s="324"/>
      <c r="D232" s="324"/>
      <c r="E232" s="346"/>
      <c r="G232" s="231"/>
      <c r="H232" s="274"/>
      <c r="I232" s="273"/>
      <c r="J232" s="273"/>
      <c r="K232" s="273"/>
      <c r="M232" s="273"/>
    </row>
    <row r="233" spans="1:13" s="272" customFormat="1" ht="15" hidden="1">
      <c r="A233" s="281"/>
      <c r="B233" s="278"/>
      <c r="C233" s="324"/>
      <c r="D233" s="324"/>
      <c r="E233" s="346"/>
      <c r="G233" s="231"/>
      <c r="H233" s="274"/>
      <c r="I233" s="273"/>
      <c r="J233" s="273"/>
      <c r="K233" s="273"/>
      <c r="M233" s="273"/>
    </row>
    <row r="234" spans="1:13" s="272" customFormat="1" ht="15" hidden="1">
      <c r="A234" s="281"/>
      <c r="B234" s="278"/>
      <c r="C234" s="324"/>
      <c r="D234" s="324"/>
      <c r="E234" s="346"/>
      <c r="G234" s="231"/>
      <c r="H234" s="274"/>
      <c r="I234" s="273"/>
      <c r="J234" s="273"/>
      <c r="K234" s="273"/>
      <c r="M234" s="273"/>
    </row>
    <row r="235" spans="1:13" s="272" customFormat="1" ht="15" hidden="1">
      <c r="A235" s="281"/>
      <c r="B235" s="278"/>
      <c r="C235" s="324"/>
      <c r="D235" s="324"/>
      <c r="E235" s="346"/>
      <c r="F235" s="273"/>
      <c r="G235" s="231"/>
      <c r="H235" s="274"/>
      <c r="I235" s="273"/>
      <c r="J235" s="273"/>
      <c r="K235" s="273"/>
      <c r="M235" s="273"/>
    </row>
    <row r="236" spans="1:5" ht="18.75" customHeight="1" hidden="1">
      <c r="A236" s="254"/>
      <c r="B236" s="256"/>
      <c r="C236" s="339"/>
      <c r="D236" s="339"/>
      <c r="E236" s="342"/>
    </row>
    <row r="237" spans="1:5" ht="18.75" customHeight="1" hidden="1">
      <c r="A237" s="254"/>
      <c r="B237" s="256"/>
      <c r="C237" s="339"/>
      <c r="D237" s="339"/>
      <c r="E237" s="342"/>
    </row>
    <row r="238" spans="1:5" ht="18.75" customHeight="1" hidden="1">
      <c r="A238" s="254"/>
      <c r="B238" s="256"/>
      <c r="C238" s="339"/>
      <c r="D238" s="339"/>
      <c r="E238" s="342"/>
    </row>
    <row r="239" spans="1:5" ht="18.75" customHeight="1" hidden="1">
      <c r="A239" s="254"/>
      <c r="B239" s="256"/>
      <c r="C239" s="339"/>
      <c r="D239" s="339"/>
      <c r="E239" s="342"/>
    </row>
    <row r="240" spans="1:5" ht="18.75" customHeight="1" hidden="1">
      <c r="A240" s="254"/>
      <c r="B240" s="256"/>
      <c r="C240" s="339"/>
      <c r="D240" s="339"/>
      <c r="E240" s="342"/>
    </row>
    <row r="241" spans="1:5" ht="33.75" customHeight="1" hidden="1">
      <c r="A241" s="254"/>
      <c r="B241" s="256"/>
      <c r="C241" s="339"/>
      <c r="D241" s="339"/>
      <c r="E241" s="342"/>
    </row>
    <row r="242" spans="1:5" ht="18.75" customHeight="1" hidden="1" thickBot="1">
      <c r="A242" s="282"/>
      <c r="B242" s="283"/>
      <c r="C242" s="335"/>
      <c r="D242" s="335"/>
      <c r="E242" s="343"/>
    </row>
    <row r="243" spans="1:6" ht="18.75" customHeight="1" hidden="1" thickBot="1">
      <c r="A243" s="241"/>
      <c r="B243" s="243"/>
      <c r="C243" s="327"/>
      <c r="D243" s="327"/>
      <c r="E243" s="328"/>
      <c r="F243" s="240"/>
    </row>
    <row r="244" spans="1:5" ht="18.75" customHeight="1" hidden="1" thickBot="1">
      <c r="A244" s="597"/>
      <c r="B244" s="598"/>
      <c r="C244" s="598"/>
      <c r="D244" s="598"/>
      <c r="E244" s="598"/>
    </row>
    <row r="245" spans="1:5" ht="13.5" customHeight="1" hidden="1">
      <c r="A245" s="235"/>
      <c r="B245" s="256"/>
      <c r="C245" s="336"/>
      <c r="D245" s="337"/>
      <c r="E245" s="338"/>
    </row>
    <row r="246" spans="1:11" s="275" customFormat="1" ht="44.25" customHeight="1" hidden="1">
      <c r="A246" s="270"/>
      <c r="B246" s="271"/>
      <c r="C246" s="324"/>
      <c r="D246" s="325"/>
      <c r="E246" s="325"/>
      <c r="G246" s="231"/>
      <c r="I246" s="276"/>
      <c r="J246" s="276"/>
      <c r="K246" s="276"/>
    </row>
    <row r="247" spans="1:11" s="275" customFormat="1" ht="31.5" customHeight="1" hidden="1">
      <c r="A247" s="270"/>
      <c r="B247" s="271"/>
      <c r="C247" s="324"/>
      <c r="D247" s="325"/>
      <c r="E247" s="325"/>
      <c r="F247" s="276"/>
      <c r="G247" s="231"/>
      <c r="I247" s="276"/>
      <c r="J247" s="276"/>
      <c r="K247" s="276"/>
    </row>
    <row r="248" spans="1:11" s="275" customFormat="1" ht="33" customHeight="1" hidden="1">
      <c r="A248" s="270"/>
      <c r="B248" s="271"/>
      <c r="C248" s="324"/>
      <c r="D248" s="325"/>
      <c r="E248" s="325"/>
      <c r="F248" s="276"/>
      <c r="G248" s="231"/>
      <c r="I248" s="276"/>
      <c r="J248" s="276"/>
      <c r="K248" s="276"/>
    </row>
    <row r="249" spans="1:5" ht="19.5" customHeight="1" hidden="1">
      <c r="A249" s="236"/>
      <c r="B249" s="256"/>
      <c r="C249" s="339"/>
      <c r="D249" s="337"/>
      <c r="E249" s="338"/>
    </row>
    <row r="250" spans="1:5" ht="19.5" customHeight="1" hidden="1">
      <c r="A250" s="236"/>
      <c r="B250" s="256"/>
      <c r="C250" s="339"/>
      <c r="D250" s="337"/>
      <c r="E250" s="338"/>
    </row>
    <row r="251" spans="1:13" s="272" customFormat="1" ht="15" hidden="1">
      <c r="A251" s="270"/>
      <c r="B251" s="271"/>
      <c r="C251" s="324"/>
      <c r="D251" s="325"/>
      <c r="E251" s="326"/>
      <c r="G251" s="231"/>
      <c r="H251" s="274"/>
      <c r="I251" s="273"/>
      <c r="J251" s="273"/>
      <c r="K251" s="273"/>
      <c r="M251" s="273"/>
    </row>
    <row r="252" spans="1:13" s="272" customFormat="1" ht="15" hidden="1">
      <c r="A252" s="270"/>
      <c r="B252" s="271"/>
      <c r="C252" s="324"/>
      <c r="D252" s="325"/>
      <c r="E252" s="326"/>
      <c r="G252" s="231"/>
      <c r="H252" s="274"/>
      <c r="I252" s="273"/>
      <c r="J252" s="273"/>
      <c r="K252" s="273"/>
      <c r="M252" s="273"/>
    </row>
    <row r="253" spans="1:13" s="272" customFormat="1" ht="15" hidden="1">
      <c r="A253" s="270"/>
      <c r="B253" s="271"/>
      <c r="C253" s="324"/>
      <c r="D253" s="325"/>
      <c r="E253" s="326"/>
      <c r="G253" s="231"/>
      <c r="H253" s="274"/>
      <c r="I253" s="273"/>
      <c r="J253" s="273"/>
      <c r="K253" s="273"/>
      <c r="M253" s="273"/>
    </row>
    <row r="254" spans="1:13" s="272" customFormat="1" ht="15" hidden="1">
      <c r="A254" s="270"/>
      <c r="B254" s="271"/>
      <c r="C254" s="324"/>
      <c r="D254" s="325"/>
      <c r="E254" s="326"/>
      <c r="F254" s="273"/>
      <c r="G254" s="231"/>
      <c r="H254" s="274"/>
      <c r="I254" s="273"/>
      <c r="J254" s="273"/>
      <c r="K254" s="273"/>
      <c r="M254" s="273"/>
    </row>
    <row r="255" spans="1:5" ht="13.5" customHeight="1" hidden="1">
      <c r="A255" s="236"/>
      <c r="B255" s="256"/>
      <c r="C255" s="339"/>
      <c r="D255" s="337"/>
      <c r="E255" s="338"/>
    </row>
    <row r="256" spans="1:5" ht="13.5" customHeight="1" hidden="1">
      <c r="A256" s="254"/>
      <c r="B256" s="256"/>
      <c r="C256" s="339"/>
      <c r="D256" s="337"/>
      <c r="E256" s="338"/>
    </row>
    <row r="257" spans="1:5" ht="13.5" customHeight="1" hidden="1">
      <c r="A257" s="254"/>
      <c r="B257" s="256"/>
      <c r="C257" s="339"/>
      <c r="D257" s="337"/>
      <c r="E257" s="338"/>
    </row>
    <row r="258" spans="1:7" s="262" customFormat="1" ht="12.75" customHeight="1" hidden="1">
      <c r="A258" s="260"/>
      <c r="B258" s="261"/>
      <c r="C258" s="339"/>
      <c r="D258" s="337"/>
      <c r="E258" s="338"/>
      <c r="G258" s="231"/>
    </row>
    <row r="259" spans="1:5" ht="17.25" customHeight="1" hidden="1">
      <c r="A259" s="254"/>
      <c r="B259" s="256"/>
      <c r="C259" s="339"/>
      <c r="D259" s="337"/>
      <c r="E259" s="338"/>
    </row>
    <row r="260" spans="1:5" ht="27.75" customHeight="1" hidden="1">
      <c r="A260" s="236"/>
      <c r="B260" s="256"/>
      <c r="C260" s="339"/>
      <c r="D260" s="337"/>
      <c r="E260" s="338"/>
    </row>
    <row r="261" spans="1:5" ht="15.75" hidden="1" thickBot="1">
      <c r="A261" s="244"/>
      <c r="B261" s="256"/>
      <c r="C261" s="339"/>
      <c r="D261" s="337"/>
      <c r="E261" s="338"/>
    </row>
    <row r="262" spans="1:6" ht="21" customHeight="1" hidden="1" thickBot="1">
      <c r="A262" s="241"/>
      <c r="B262" s="243"/>
      <c r="C262" s="327"/>
      <c r="D262" s="327"/>
      <c r="E262" s="328"/>
      <c r="F262" s="240"/>
    </row>
    <row r="263" spans="1:5" ht="17.25" customHeight="1" hidden="1" thickBot="1">
      <c r="A263" s="597"/>
      <c r="B263" s="598"/>
      <c r="C263" s="598"/>
      <c r="D263" s="598"/>
      <c r="E263" s="598"/>
    </row>
    <row r="264" spans="1:5" ht="13.5" customHeight="1" hidden="1">
      <c r="A264" s="254"/>
      <c r="B264" s="256"/>
      <c r="C264" s="339"/>
      <c r="D264" s="337"/>
      <c r="E264" s="338"/>
    </row>
    <row r="265" spans="1:11" s="275" customFormat="1" ht="42" customHeight="1" hidden="1">
      <c r="A265" s="270"/>
      <c r="B265" s="271"/>
      <c r="C265" s="324"/>
      <c r="D265" s="325"/>
      <c r="E265" s="326"/>
      <c r="G265" s="231"/>
      <c r="I265" s="276"/>
      <c r="J265" s="276"/>
      <c r="K265" s="276"/>
    </row>
    <row r="266" spans="1:11" s="275" customFormat="1" ht="31.5" customHeight="1" hidden="1">
      <c r="A266" s="270"/>
      <c r="B266" s="271"/>
      <c r="C266" s="324"/>
      <c r="D266" s="325"/>
      <c r="E266" s="326"/>
      <c r="F266" s="276"/>
      <c r="G266" s="231"/>
      <c r="I266" s="276"/>
      <c r="J266" s="276"/>
      <c r="K266" s="276"/>
    </row>
    <row r="267" spans="1:11" s="275" customFormat="1" ht="33" customHeight="1" hidden="1">
      <c r="A267" s="270"/>
      <c r="B267" s="271"/>
      <c r="C267" s="324"/>
      <c r="D267" s="325"/>
      <c r="E267" s="326"/>
      <c r="F267" s="276"/>
      <c r="G267" s="231"/>
      <c r="I267" s="276"/>
      <c r="J267" s="276"/>
      <c r="K267" s="276"/>
    </row>
    <row r="268" spans="1:5" ht="19.5" customHeight="1" hidden="1">
      <c r="A268" s="237"/>
      <c r="B268" s="256"/>
      <c r="C268" s="339"/>
      <c r="D268" s="337"/>
      <c r="E268" s="338"/>
    </row>
    <row r="269" spans="1:13" s="272" customFormat="1" ht="15" hidden="1">
      <c r="A269" s="270"/>
      <c r="B269" s="271"/>
      <c r="C269" s="324"/>
      <c r="D269" s="325"/>
      <c r="E269" s="326"/>
      <c r="G269" s="231"/>
      <c r="H269" s="274"/>
      <c r="I269" s="273"/>
      <c r="J269" s="273"/>
      <c r="K269" s="273"/>
      <c r="M269" s="273"/>
    </row>
    <row r="270" spans="1:13" s="272" customFormat="1" ht="15" hidden="1">
      <c r="A270" s="270"/>
      <c r="B270" s="271"/>
      <c r="C270" s="324"/>
      <c r="D270" s="325"/>
      <c r="E270" s="326"/>
      <c r="G270" s="231"/>
      <c r="H270" s="274"/>
      <c r="I270" s="273"/>
      <c r="J270" s="273"/>
      <c r="K270" s="273"/>
      <c r="M270" s="273"/>
    </row>
    <row r="271" spans="1:13" s="272" customFormat="1" ht="15" hidden="1">
      <c r="A271" s="270"/>
      <c r="B271" s="271"/>
      <c r="C271" s="324"/>
      <c r="D271" s="325"/>
      <c r="E271" s="326"/>
      <c r="G271" s="231"/>
      <c r="H271" s="274"/>
      <c r="I271" s="273"/>
      <c r="J271" s="273"/>
      <c r="K271" s="273"/>
      <c r="M271" s="273"/>
    </row>
    <row r="272" spans="1:13" s="272" customFormat="1" ht="15" hidden="1">
      <c r="A272" s="270"/>
      <c r="B272" s="271"/>
      <c r="C272" s="324"/>
      <c r="D272" s="325"/>
      <c r="E272" s="326"/>
      <c r="F272" s="273"/>
      <c r="G272" s="231"/>
      <c r="H272" s="274"/>
      <c r="I272" s="273"/>
      <c r="J272" s="273"/>
      <c r="K272" s="273"/>
      <c r="M272" s="273"/>
    </row>
    <row r="273" spans="1:5" ht="15.75" customHeight="1" hidden="1">
      <c r="A273" s="254"/>
      <c r="B273" s="256"/>
      <c r="C273" s="339"/>
      <c r="D273" s="337"/>
      <c r="E273" s="338"/>
    </row>
    <row r="274" spans="1:5" ht="13.5" customHeight="1" hidden="1">
      <c r="A274" s="254"/>
      <c r="B274" s="256"/>
      <c r="C274" s="339"/>
      <c r="D274" s="337"/>
      <c r="E274" s="338"/>
    </row>
    <row r="275" spans="1:5" ht="13.5" customHeight="1" hidden="1">
      <c r="A275" s="254"/>
      <c r="B275" s="256"/>
      <c r="C275" s="339"/>
      <c r="D275" s="337"/>
      <c r="E275" s="338"/>
    </row>
    <row r="276" spans="1:5" ht="13.5" customHeight="1" hidden="1">
      <c r="A276" s="254"/>
      <c r="B276" s="256"/>
      <c r="C276" s="339"/>
      <c r="D276" s="337"/>
      <c r="E276" s="338"/>
    </row>
    <row r="277" spans="1:5" ht="13.5" customHeight="1" hidden="1">
      <c r="A277" s="254"/>
      <c r="B277" s="256"/>
      <c r="C277" s="339"/>
      <c r="D277" s="337"/>
      <c r="E277" s="338"/>
    </row>
    <row r="278" spans="1:5" ht="14.25" customHeight="1" hidden="1">
      <c r="A278" s="254"/>
      <c r="B278" s="256"/>
      <c r="C278" s="339"/>
      <c r="D278" s="337"/>
      <c r="E278" s="338"/>
    </row>
    <row r="279" spans="1:5" ht="13.5" customHeight="1" hidden="1">
      <c r="A279" s="244"/>
      <c r="B279" s="256"/>
      <c r="C279" s="336"/>
      <c r="D279" s="337"/>
      <c r="E279" s="338"/>
    </row>
    <row r="280" spans="1:5" ht="13.5" customHeight="1" hidden="1">
      <c r="A280" s="254"/>
      <c r="B280" s="256"/>
      <c r="C280" s="339"/>
      <c r="D280" s="337"/>
      <c r="E280" s="338"/>
    </row>
    <row r="281" spans="1:5" ht="14.25" customHeight="1" hidden="1">
      <c r="A281" s="254"/>
      <c r="B281" s="256"/>
      <c r="C281" s="339"/>
      <c r="D281" s="337"/>
      <c r="E281" s="338"/>
    </row>
    <row r="282" spans="1:5" ht="18.75" customHeight="1" hidden="1">
      <c r="A282" s="254"/>
      <c r="B282" s="256"/>
      <c r="C282" s="339"/>
      <c r="D282" s="337"/>
      <c r="E282" s="338"/>
    </row>
    <row r="283" spans="1:5" ht="15.75" hidden="1" thickBot="1">
      <c r="A283" s="254"/>
      <c r="B283" s="256"/>
      <c r="C283" s="339"/>
      <c r="D283" s="337"/>
      <c r="E283" s="338"/>
    </row>
    <row r="284" spans="1:6" ht="20.25" customHeight="1" hidden="1" thickBot="1">
      <c r="A284" s="241"/>
      <c r="B284" s="243"/>
      <c r="C284" s="327"/>
      <c r="D284" s="327"/>
      <c r="E284" s="328"/>
      <c r="F284" s="240"/>
    </row>
    <row r="285" spans="1:5" ht="18.75" customHeight="1" hidden="1" thickBot="1">
      <c r="A285" s="597"/>
      <c r="B285" s="598"/>
      <c r="C285" s="598"/>
      <c r="D285" s="598"/>
      <c r="E285" s="598"/>
    </row>
    <row r="286" spans="1:6" ht="20.25" customHeight="1" hidden="1">
      <c r="A286" s="254"/>
      <c r="B286" s="256"/>
      <c r="C286" s="339"/>
      <c r="D286" s="337"/>
      <c r="E286" s="338"/>
      <c r="F286" s="240"/>
    </row>
    <row r="287" spans="1:11" s="275" customFormat="1" ht="45" customHeight="1" hidden="1">
      <c r="A287" s="270"/>
      <c r="B287" s="271"/>
      <c r="C287" s="324"/>
      <c r="D287" s="325"/>
      <c r="E287" s="326"/>
      <c r="G287" s="231"/>
      <c r="I287" s="276"/>
      <c r="J287" s="276"/>
      <c r="K287" s="276"/>
    </row>
    <row r="288" spans="1:11" s="275" customFormat="1" ht="29.25" customHeight="1" hidden="1">
      <c r="A288" s="270"/>
      <c r="B288" s="271"/>
      <c r="C288" s="324"/>
      <c r="D288" s="325"/>
      <c r="E288" s="326"/>
      <c r="F288" s="276"/>
      <c r="G288" s="231"/>
      <c r="I288" s="276"/>
      <c r="J288" s="276"/>
      <c r="K288" s="276"/>
    </row>
    <row r="289" spans="1:11" s="275" customFormat="1" ht="29.25" customHeight="1" hidden="1">
      <c r="A289" s="270"/>
      <c r="B289" s="271"/>
      <c r="C289" s="324"/>
      <c r="D289" s="325"/>
      <c r="E289" s="326"/>
      <c r="F289" s="276"/>
      <c r="G289" s="231"/>
      <c r="I289" s="276"/>
      <c r="J289" s="276"/>
      <c r="K289" s="276"/>
    </row>
    <row r="290" spans="1:5" ht="20.25" customHeight="1" hidden="1">
      <c r="A290" s="254"/>
      <c r="B290" s="256"/>
      <c r="C290" s="339"/>
      <c r="D290" s="337"/>
      <c r="E290" s="338"/>
    </row>
    <row r="291" spans="1:13" s="272" customFormat="1" ht="15" hidden="1">
      <c r="A291" s="270"/>
      <c r="B291" s="271"/>
      <c r="C291" s="324"/>
      <c r="D291" s="325"/>
      <c r="E291" s="326"/>
      <c r="G291" s="231"/>
      <c r="H291" s="274"/>
      <c r="I291" s="273"/>
      <c r="J291" s="273"/>
      <c r="K291" s="273"/>
      <c r="M291" s="273"/>
    </row>
    <row r="292" spans="1:13" s="272" customFormat="1" ht="15" hidden="1">
      <c r="A292" s="270"/>
      <c r="B292" s="271"/>
      <c r="C292" s="324"/>
      <c r="D292" s="325"/>
      <c r="E292" s="326"/>
      <c r="G292" s="231"/>
      <c r="H292" s="274"/>
      <c r="I292" s="273"/>
      <c r="J292" s="273"/>
      <c r="K292" s="273"/>
      <c r="M292" s="273"/>
    </row>
    <row r="293" spans="1:13" s="272" customFormat="1" ht="15" hidden="1">
      <c r="A293" s="270"/>
      <c r="B293" s="271"/>
      <c r="C293" s="324"/>
      <c r="D293" s="325"/>
      <c r="E293" s="326"/>
      <c r="G293" s="231"/>
      <c r="H293" s="274"/>
      <c r="I293" s="273"/>
      <c r="J293" s="273"/>
      <c r="K293" s="273"/>
      <c r="M293" s="273"/>
    </row>
    <row r="294" spans="1:13" s="272" customFormat="1" ht="15" hidden="1">
      <c r="A294" s="270"/>
      <c r="B294" s="271"/>
      <c r="C294" s="324"/>
      <c r="D294" s="325"/>
      <c r="E294" s="326"/>
      <c r="F294" s="273"/>
      <c r="G294" s="231"/>
      <c r="H294" s="274"/>
      <c r="I294" s="273"/>
      <c r="J294" s="273"/>
      <c r="K294" s="273"/>
      <c r="M294" s="273"/>
    </row>
    <row r="295" spans="1:6" ht="13.5" customHeight="1" hidden="1">
      <c r="A295" s="254"/>
      <c r="B295" s="256"/>
      <c r="C295" s="339"/>
      <c r="D295" s="337"/>
      <c r="E295" s="338"/>
      <c r="F295" s="240"/>
    </row>
    <row r="296" spans="1:6" ht="13.5" customHeight="1" hidden="1">
      <c r="A296" s="254"/>
      <c r="B296" s="256"/>
      <c r="C296" s="339"/>
      <c r="D296" s="337"/>
      <c r="E296" s="338"/>
      <c r="F296" s="240"/>
    </row>
    <row r="297" spans="1:6" ht="13.5" customHeight="1" hidden="1">
      <c r="A297" s="254"/>
      <c r="B297" s="256"/>
      <c r="C297" s="339"/>
      <c r="D297" s="337"/>
      <c r="E297" s="338"/>
      <c r="F297" s="240"/>
    </row>
    <row r="298" spans="1:6" ht="13.5" customHeight="1" hidden="1">
      <c r="A298" s="254"/>
      <c r="B298" s="256"/>
      <c r="C298" s="339"/>
      <c r="D298" s="337"/>
      <c r="E298" s="338"/>
      <c r="F298" s="240"/>
    </row>
    <row r="299" spans="1:6" ht="13.5" customHeight="1" hidden="1">
      <c r="A299" s="254"/>
      <c r="B299" s="256"/>
      <c r="C299" s="339"/>
      <c r="D299" s="337"/>
      <c r="E299" s="338"/>
      <c r="F299" s="240"/>
    </row>
    <row r="300" spans="1:6" ht="15" customHeight="1" hidden="1">
      <c r="A300" s="254"/>
      <c r="B300" s="256"/>
      <c r="C300" s="339"/>
      <c r="D300" s="337"/>
      <c r="E300" s="338"/>
      <c r="F300" s="240"/>
    </row>
    <row r="301" spans="1:6" ht="16.5" customHeight="1" hidden="1">
      <c r="A301" s="254"/>
      <c r="B301" s="256"/>
      <c r="C301" s="339"/>
      <c r="D301" s="337"/>
      <c r="E301" s="338"/>
      <c r="F301" s="240"/>
    </row>
    <row r="302" spans="1:6" ht="29.25" customHeight="1" hidden="1">
      <c r="A302" s="244"/>
      <c r="B302" s="256"/>
      <c r="C302" s="336"/>
      <c r="D302" s="337"/>
      <c r="E302" s="338"/>
      <c r="F302" s="240"/>
    </row>
    <row r="303" spans="1:6" ht="15.75" hidden="1" thickBot="1">
      <c r="A303" s="263"/>
      <c r="B303" s="256"/>
      <c r="C303" s="339"/>
      <c r="D303" s="337"/>
      <c r="E303" s="338"/>
      <c r="F303" s="240"/>
    </row>
    <row r="304" spans="1:6" ht="24" customHeight="1" hidden="1" thickBot="1">
      <c r="A304" s="241"/>
      <c r="B304" s="243"/>
      <c r="C304" s="327"/>
      <c r="D304" s="327"/>
      <c r="E304" s="328"/>
      <c r="F304" s="240"/>
    </row>
    <row r="305" spans="1:5" ht="18" customHeight="1" hidden="1" thickBot="1">
      <c r="A305" s="597"/>
      <c r="B305" s="598"/>
      <c r="C305" s="598"/>
      <c r="D305" s="598"/>
      <c r="E305" s="598"/>
    </row>
    <row r="306" spans="1:5" ht="13.5" customHeight="1" hidden="1">
      <c r="A306" s="254"/>
      <c r="B306" s="256"/>
      <c r="C306" s="347"/>
      <c r="D306" s="348"/>
      <c r="E306" s="349"/>
    </row>
    <row r="307" spans="1:11" s="275" customFormat="1" ht="46.5" customHeight="1" hidden="1">
      <c r="A307" s="270"/>
      <c r="B307" s="271"/>
      <c r="C307" s="324"/>
      <c r="D307" s="325"/>
      <c r="E307" s="326"/>
      <c r="G307" s="231"/>
      <c r="I307" s="276"/>
      <c r="J307" s="276"/>
      <c r="K307" s="276"/>
    </row>
    <row r="308" spans="1:11" s="275" customFormat="1" ht="31.5" customHeight="1" hidden="1">
      <c r="A308" s="270"/>
      <c r="B308" s="271"/>
      <c r="C308" s="324"/>
      <c r="D308" s="325"/>
      <c r="E308" s="326"/>
      <c r="F308" s="276"/>
      <c r="G308" s="231"/>
      <c r="I308" s="276"/>
      <c r="J308" s="276"/>
      <c r="K308" s="276"/>
    </row>
    <row r="309" spans="1:11" s="275" customFormat="1" ht="33" customHeight="1" hidden="1">
      <c r="A309" s="270"/>
      <c r="B309" s="271"/>
      <c r="C309" s="324"/>
      <c r="D309" s="325"/>
      <c r="E309" s="326"/>
      <c r="F309" s="276"/>
      <c r="G309" s="231"/>
      <c r="I309" s="276"/>
      <c r="J309" s="276"/>
      <c r="K309" s="276"/>
    </row>
    <row r="310" spans="1:5" ht="16.5" customHeight="1" hidden="1">
      <c r="A310" s="237"/>
      <c r="B310" s="256"/>
      <c r="C310" s="347"/>
      <c r="D310" s="337"/>
      <c r="E310" s="338"/>
    </row>
    <row r="311" spans="1:13" s="272" customFormat="1" ht="15" hidden="1">
      <c r="A311" s="270"/>
      <c r="B311" s="271"/>
      <c r="C311" s="324"/>
      <c r="D311" s="325"/>
      <c r="E311" s="326"/>
      <c r="G311" s="231"/>
      <c r="H311" s="274"/>
      <c r="I311" s="273"/>
      <c r="J311" s="273"/>
      <c r="K311" s="273"/>
      <c r="M311" s="273"/>
    </row>
    <row r="312" spans="1:13" s="272" customFormat="1" ht="15" hidden="1">
      <c r="A312" s="270"/>
      <c r="B312" s="271"/>
      <c r="C312" s="324"/>
      <c r="D312" s="325"/>
      <c r="E312" s="326"/>
      <c r="G312" s="231"/>
      <c r="H312" s="274"/>
      <c r="I312" s="273"/>
      <c r="J312" s="273"/>
      <c r="K312" s="273"/>
      <c r="M312" s="273"/>
    </row>
    <row r="313" spans="1:13" s="272" customFormat="1" ht="15" hidden="1">
      <c r="A313" s="270"/>
      <c r="B313" s="271"/>
      <c r="C313" s="324"/>
      <c r="D313" s="325"/>
      <c r="E313" s="326"/>
      <c r="G313" s="231"/>
      <c r="H313" s="274"/>
      <c r="I313" s="273"/>
      <c r="J313" s="273"/>
      <c r="K313" s="273"/>
      <c r="M313" s="273"/>
    </row>
    <row r="314" spans="1:13" s="272" customFormat="1" ht="15" hidden="1">
      <c r="A314" s="270"/>
      <c r="B314" s="271"/>
      <c r="C314" s="324"/>
      <c r="D314" s="325"/>
      <c r="E314" s="326"/>
      <c r="F314" s="273"/>
      <c r="G314" s="231"/>
      <c r="H314" s="274"/>
      <c r="I314" s="273"/>
      <c r="J314" s="273"/>
      <c r="K314" s="273"/>
      <c r="M314" s="273"/>
    </row>
    <row r="315" spans="1:6" ht="13.5" customHeight="1" hidden="1">
      <c r="A315" s="254"/>
      <c r="B315" s="256"/>
      <c r="C315" s="347"/>
      <c r="D315" s="348"/>
      <c r="E315" s="349"/>
      <c r="F315" s="240"/>
    </row>
    <row r="316" spans="1:6" ht="13.5" customHeight="1" hidden="1">
      <c r="A316" s="237"/>
      <c r="B316" s="256"/>
      <c r="C316" s="347"/>
      <c r="D316" s="348"/>
      <c r="E316" s="349"/>
      <c r="F316" s="240"/>
    </row>
    <row r="317" spans="1:6" ht="15.75" customHeight="1" hidden="1">
      <c r="A317" s="237"/>
      <c r="B317" s="256"/>
      <c r="C317" s="347"/>
      <c r="D317" s="348"/>
      <c r="E317" s="349"/>
      <c r="F317" s="240"/>
    </row>
    <row r="318" spans="1:6" ht="13.5" customHeight="1" hidden="1">
      <c r="A318" s="237"/>
      <c r="B318" s="256"/>
      <c r="C318" s="347"/>
      <c r="D318" s="348"/>
      <c r="E318" s="349"/>
      <c r="F318" s="240"/>
    </row>
    <row r="319" spans="1:6" ht="13.5" customHeight="1" hidden="1">
      <c r="A319" s="237"/>
      <c r="B319" s="256"/>
      <c r="C319" s="347"/>
      <c r="D319" s="348"/>
      <c r="E319" s="349"/>
      <c r="F319" s="240"/>
    </row>
    <row r="320" spans="1:6" ht="13.5" customHeight="1" hidden="1">
      <c r="A320" s="237"/>
      <c r="B320" s="256"/>
      <c r="C320" s="347"/>
      <c r="D320" s="348"/>
      <c r="E320" s="349"/>
      <c r="F320" s="240"/>
    </row>
    <row r="321" spans="1:6" ht="14.25" customHeight="1" hidden="1">
      <c r="A321" s="237"/>
      <c r="B321" s="256"/>
      <c r="C321" s="347"/>
      <c r="D321" s="348"/>
      <c r="E321" s="349"/>
      <c r="F321" s="240"/>
    </row>
    <row r="322" spans="1:6" ht="13.5" customHeight="1" hidden="1">
      <c r="A322" s="234"/>
      <c r="B322" s="256"/>
      <c r="C322" s="321"/>
      <c r="D322" s="348"/>
      <c r="E322" s="349"/>
      <c r="F322" s="240"/>
    </row>
    <row r="323" spans="1:6" ht="13.5" customHeight="1" hidden="1">
      <c r="A323" s="254"/>
      <c r="B323" s="256"/>
      <c r="C323" s="347"/>
      <c r="D323" s="348"/>
      <c r="E323" s="349"/>
      <c r="F323" s="240"/>
    </row>
    <row r="324" spans="1:6" ht="13.5" customHeight="1" hidden="1">
      <c r="A324" s="254"/>
      <c r="B324" s="256"/>
      <c r="C324" s="348"/>
      <c r="D324" s="348"/>
      <c r="E324" s="349"/>
      <c r="F324" s="240"/>
    </row>
    <row r="325" spans="1:6" ht="13.5" customHeight="1" hidden="1">
      <c r="A325" s="237"/>
      <c r="B325" s="256"/>
      <c r="C325" s="348"/>
      <c r="D325" s="348"/>
      <c r="E325" s="349"/>
      <c r="F325" s="240"/>
    </row>
    <row r="326" spans="1:6" ht="13.5" customHeight="1" hidden="1">
      <c r="A326" s="237"/>
      <c r="B326" s="256"/>
      <c r="C326" s="347"/>
      <c r="D326" s="348"/>
      <c r="E326" s="349"/>
      <c r="F326" s="240"/>
    </row>
    <row r="327" spans="1:6" ht="15.75" hidden="1" thickBot="1">
      <c r="A327" s="244"/>
      <c r="B327" s="256"/>
      <c r="C327" s="321"/>
      <c r="D327" s="319"/>
      <c r="E327" s="320"/>
      <c r="F327" s="240"/>
    </row>
    <row r="328" spans="1:6" ht="18" customHeight="1" hidden="1" thickBot="1">
      <c r="A328" s="241"/>
      <c r="B328" s="243"/>
      <c r="C328" s="327"/>
      <c r="D328" s="327"/>
      <c r="E328" s="327"/>
      <c r="F328" s="240"/>
    </row>
    <row r="329" spans="1:5" ht="15.75" customHeight="1" hidden="1" thickBot="1">
      <c r="A329" s="597"/>
      <c r="B329" s="598"/>
      <c r="C329" s="598"/>
      <c r="D329" s="598"/>
      <c r="E329" s="598"/>
    </row>
    <row r="330" spans="1:5" ht="13.5" customHeight="1" hidden="1">
      <c r="A330" s="254"/>
      <c r="B330" s="256"/>
      <c r="C330" s="339"/>
      <c r="D330" s="337"/>
      <c r="E330" s="338"/>
    </row>
    <row r="331" spans="1:11" s="275" customFormat="1" ht="45.75" customHeight="1" hidden="1">
      <c r="A331" s="270"/>
      <c r="B331" s="271"/>
      <c r="C331" s="324"/>
      <c r="D331" s="325"/>
      <c r="E331" s="326"/>
      <c r="G331" s="231"/>
      <c r="I331" s="276"/>
      <c r="J331" s="276"/>
      <c r="K331" s="276"/>
    </row>
    <row r="332" spans="1:11" s="275" customFormat="1" ht="31.5" customHeight="1" hidden="1">
      <c r="A332" s="270"/>
      <c r="B332" s="271"/>
      <c r="C332" s="324"/>
      <c r="D332" s="325"/>
      <c r="E332" s="326"/>
      <c r="F332" s="276"/>
      <c r="G332" s="231"/>
      <c r="I332" s="276"/>
      <c r="J332" s="276"/>
      <c r="K332" s="276"/>
    </row>
    <row r="333" spans="1:11" s="275" customFormat="1" ht="33" customHeight="1" hidden="1">
      <c r="A333" s="270"/>
      <c r="B333" s="271"/>
      <c r="C333" s="324"/>
      <c r="D333" s="325"/>
      <c r="E333" s="326"/>
      <c r="F333" s="276"/>
      <c r="G333" s="231"/>
      <c r="I333" s="276"/>
      <c r="J333" s="276"/>
      <c r="K333" s="276"/>
    </row>
    <row r="334" spans="1:5" ht="13.5" customHeight="1" hidden="1">
      <c r="A334" s="254"/>
      <c r="B334" s="256"/>
      <c r="C334" s="339"/>
      <c r="D334" s="337"/>
      <c r="E334" s="338"/>
    </row>
    <row r="335" spans="1:13" s="272" customFormat="1" ht="15" hidden="1">
      <c r="A335" s="270"/>
      <c r="B335" s="271"/>
      <c r="C335" s="324"/>
      <c r="D335" s="325"/>
      <c r="E335" s="326"/>
      <c r="G335" s="231"/>
      <c r="H335" s="274"/>
      <c r="I335" s="273"/>
      <c r="J335" s="273"/>
      <c r="K335" s="273"/>
      <c r="M335" s="273"/>
    </row>
    <row r="336" spans="1:13" s="272" customFormat="1" ht="15" hidden="1">
      <c r="A336" s="270"/>
      <c r="B336" s="271"/>
      <c r="C336" s="324"/>
      <c r="D336" s="325"/>
      <c r="E336" s="326"/>
      <c r="G336" s="231"/>
      <c r="H336" s="274"/>
      <c r="I336" s="273"/>
      <c r="J336" s="273"/>
      <c r="K336" s="273"/>
      <c r="M336" s="273"/>
    </row>
    <row r="337" spans="1:13" s="272" customFormat="1" ht="15" hidden="1">
      <c r="A337" s="270"/>
      <c r="B337" s="271"/>
      <c r="C337" s="324"/>
      <c r="D337" s="325"/>
      <c r="E337" s="326"/>
      <c r="G337" s="231"/>
      <c r="H337" s="274"/>
      <c r="I337" s="273"/>
      <c r="J337" s="273"/>
      <c r="K337" s="273"/>
      <c r="M337" s="273"/>
    </row>
    <row r="338" spans="1:13" s="272" customFormat="1" ht="15" hidden="1">
      <c r="A338" s="270"/>
      <c r="B338" s="271"/>
      <c r="C338" s="324"/>
      <c r="D338" s="325"/>
      <c r="E338" s="326"/>
      <c r="F338" s="273"/>
      <c r="G338" s="231"/>
      <c r="H338" s="274"/>
      <c r="I338" s="273"/>
      <c r="J338" s="273"/>
      <c r="K338" s="273"/>
      <c r="M338" s="273"/>
    </row>
    <row r="339" spans="1:6" ht="13.5" customHeight="1" hidden="1">
      <c r="A339" s="254"/>
      <c r="B339" s="256"/>
      <c r="C339" s="339"/>
      <c r="D339" s="337"/>
      <c r="E339" s="338"/>
      <c r="F339" s="240"/>
    </row>
    <row r="340" spans="1:6" ht="13.5" customHeight="1" hidden="1">
      <c r="A340" s="254"/>
      <c r="B340" s="256"/>
      <c r="C340" s="339"/>
      <c r="D340" s="337"/>
      <c r="E340" s="338"/>
      <c r="F340" s="240"/>
    </row>
    <row r="341" spans="1:6" ht="13.5" customHeight="1" hidden="1">
      <c r="A341" s="254"/>
      <c r="B341" s="256"/>
      <c r="C341" s="339"/>
      <c r="D341" s="337"/>
      <c r="E341" s="338"/>
      <c r="F341" s="240"/>
    </row>
    <row r="342" spans="1:6" ht="14.25" customHeight="1" hidden="1">
      <c r="A342" s="254"/>
      <c r="B342" s="256"/>
      <c r="C342" s="339"/>
      <c r="D342" s="337"/>
      <c r="E342" s="338"/>
      <c r="F342" s="240"/>
    </row>
    <row r="343" spans="1:7" s="248" customFormat="1" ht="13.5" customHeight="1" hidden="1">
      <c r="A343" s="254"/>
      <c r="B343" s="256"/>
      <c r="C343" s="339"/>
      <c r="D343" s="337"/>
      <c r="E343" s="338"/>
      <c r="F343" s="240"/>
      <c r="G343" s="231"/>
    </row>
    <row r="344" spans="1:6" ht="13.5" customHeight="1" hidden="1">
      <c r="A344" s="254"/>
      <c r="B344" s="256"/>
      <c r="C344" s="339"/>
      <c r="D344" s="337"/>
      <c r="E344" s="338"/>
      <c r="F344" s="240"/>
    </row>
    <row r="345" spans="1:7" s="248" customFormat="1" ht="13.5" customHeight="1" hidden="1">
      <c r="A345" s="254"/>
      <c r="B345" s="256"/>
      <c r="C345" s="339"/>
      <c r="D345" s="337"/>
      <c r="E345" s="338"/>
      <c r="F345" s="240"/>
      <c r="G345" s="231"/>
    </row>
    <row r="346" spans="1:6" ht="13.5" customHeight="1" hidden="1">
      <c r="A346" s="244"/>
      <c r="B346" s="256"/>
      <c r="C346" s="336"/>
      <c r="D346" s="337"/>
      <c r="E346" s="338"/>
      <c r="F346" s="240"/>
    </row>
    <row r="347" spans="1:6" ht="13.5" customHeight="1" hidden="1">
      <c r="A347" s="254"/>
      <c r="B347" s="256"/>
      <c r="C347" s="339"/>
      <c r="D347" s="337"/>
      <c r="E347" s="338"/>
      <c r="F347" s="240"/>
    </row>
    <row r="348" spans="1:6" ht="13.5" customHeight="1" hidden="1">
      <c r="A348" s="254"/>
      <c r="B348" s="256"/>
      <c r="C348" s="339"/>
      <c r="D348" s="337"/>
      <c r="E348" s="338"/>
      <c r="F348" s="240"/>
    </row>
    <row r="349" spans="1:6" ht="16.5" customHeight="1" hidden="1">
      <c r="A349" s="254"/>
      <c r="B349" s="256"/>
      <c r="C349" s="339"/>
      <c r="D349" s="337"/>
      <c r="E349" s="338"/>
      <c r="F349" s="240"/>
    </row>
    <row r="350" spans="1:6" ht="15.75" hidden="1" thickBot="1">
      <c r="A350" s="254"/>
      <c r="B350" s="256"/>
      <c r="C350" s="339"/>
      <c r="D350" s="337"/>
      <c r="E350" s="338"/>
      <c r="F350" s="240"/>
    </row>
    <row r="351" spans="1:8" ht="19.5" customHeight="1" hidden="1" thickBot="1">
      <c r="A351" s="241"/>
      <c r="B351" s="243"/>
      <c r="C351" s="327"/>
      <c r="D351" s="327"/>
      <c r="E351" s="328"/>
      <c r="F351" s="240"/>
      <c r="H351" s="240"/>
    </row>
    <row r="352" spans="1:5" ht="18.75" customHeight="1" thickBot="1">
      <c r="A352" s="597" t="s">
        <v>430</v>
      </c>
      <c r="B352" s="598"/>
      <c r="C352" s="598"/>
      <c r="D352" s="598"/>
      <c r="E352" s="598"/>
    </row>
    <row r="353" spans="1:5" ht="18.75" customHeight="1" thickBot="1">
      <c r="A353" s="234" t="s">
        <v>43</v>
      </c>
      <c r="B353" s="256">
        <f>ROUND(C353+D353+E353*2.9,0)</f>
        <v>2418</v>
      </c>
      <c r="C353" s="318">
        <v>189</v>
      </c>
      <c r="D353" s="319">
        <v>164</v>
      </c>
      <c r="E353" s="320">
        <v>712</v>
      </c>
    </row>
    <row r="354" spans="1:5" ht="18.75" customHeight="1" thickBot="1">
      <c r="A354" s="241" t="s">
        <v>7</v>
      </c>
      <c r="B354" s="242">
        <f>SUM(B353:B353)</f>
        <v>2418</v>
      </c>
      <c r="C354" s="327">
        <f>SUM(C353:C353)</f>
        <v>189</v>
      </c>
      <c r="D354" s="327">
        <f>SUM(D353:D353)</f>
        <v>164</v>
      </c>
      <c r="E354" s="327">
        <f>SUM(E353:E353)</f>
        <v>712</v>
      </c>
    </row>
    <row r="355" spans="1:5" ht="18" customHeight="1" thickBot="1">
      <c r="A355" s="597" t="s">
        <v>431</v>
      </c>
      <c r="B355" s="598"/>
      <c r="C355" s="598"/>
      <c r="D355" s="598"/>
      <c r="E355" s="598"/>
    </row>
    <row r="356" spans="1:5" ht="13.5" customHeight="1" thickBot="1">
      <c r="A356" s="264" t="s">
        <v>43</v>
      </c>
      <c r="B356" s="256">
        <f>ROUND(C356+D356+E356*2.9,0)</f>
        <v>1978</v>
      </c>
      <c r="C356" s="329">
        <v>945</v>
      </c>
      <c r="D356" s="330">
        <v>82</v>
      </c>
      <c r="E356" s="331">
        <v>328</v>
      </c>
    </row>
    <row r="357" spans="1:5" ht="13.5" customHeight="1" thickBot="1">
      <c r="A357" s="241" t="s">
        <v>7</v>
      </c>
      <c r="B357" s="242">
        <f>SUM(B356:B356)</f>
        <v>1978</v>
      </c>
      <c r="C357" s="327">
        <f>SUM(C356:C356)</f>
        <v>945</v>
      </c>
      <c r="D357" s="327">
        <f>SUM(D356:D356)</f>
        <v>82</v>
      </c>
      <c r="E357" s="327">
        <f>SUM(E356:E356)</f>
        <v>328</v>
      </c>
    </row>
    <row r="358" spans="1:5" ht="20.25" customHeight="1" thickBot="1">
      <c r="A358" s="597" t="s">
        <v>432</v>
      </c>
      <c r="B358" s="598"/>
      <c r="C358" s="598"/>
      <c r="D358" s="598"/>
      <c r="E358" s="598"/>
    </row>
    <row r="359" spans="1:13" ht="13.5" customHeight="1">
      <c r="A359" s="234" t="s">
        <v>43</v>
      </c>
      <c r="B359" s="265">
        <f>ROUND(C359+D359+E359*2.9,0)</f>
        <v>11306</v>
      </c>
      <c r="C359" s="563">
        <v>5849</v>
      </c>
      <c r="D359" s="564">
        <v>260</v>
      </c>
      <c r="E359" s="565">
        <v>1792</v>
      </c>
      <c r="F359" s="232"/>
      <c r="H359" s="232"/>
      <c r="K359" s="232"/>
      <c r="L359" s="232"/>
      <c r="M359" s="232"/>
    </row>
    <row r="360" spans="1:13" ht="18.75" customHeight="1" thickBot="1">
      <c r="A360" s="266" t="s">
        <v>44</v>
      </c>
      <c r="B360" s="267">
        <f>ROUND(C360+D360+E360*2.9,0)</f>
        <v>7714</v>
      </c>
      <c r="C360" s="566">
        <v>3759</v>
      </c>
      <c r="D360" s="564">
        <v>185</v>
      </c>
      <c r="E360" s="565">
        <v>1300</v>
      </c>
      <c r="F360" s="232"/>
      <c r="H360" s="232"/>
      <c r="K360" s="232"/>
      <c r="L360" s="232"/>
      <c r="M360" s="232"/>
    </row>
    <row r="361" spans="1:8" ht="18.75" customHeight="1" thickBot="1">
      <c r="A361" s="241" t="s">
        <v>7</v>
      </c>
      <c r="B361" s="242">
        <f>SUM(B359:B360)</f>
        <v>19020</v>
      </c>
      <c r="C361" s="243">
        <f>SUM(C359:C360)</f>
        <v>9608</v>
      </c>
      <c r="D361" s="243">
        <f>SUM(D359:D360)</f>
        <v>445</v>
      </c>
      <c r="E361" s="368">
        <f>SUM(E359:E360)</f>
        <v>3092</v>
      </c>
      <c r="F361" s="232"/>
      <c r="H361" s="232"/>
    </row>
    <row r="362" spans="1:6" ht="18.75" customHeight="1" thickBot="1">
      <c r="A362" s="597" t="s">
        <v>433</v>
      </c>
      <c r="B362" s="598"/>
      <c r="C362" s="598"/>
      <c r="D362" s="598"/>
      <c r="E362" s="598"/>
      <c r="F362" s="238"/>
    </row>
    <row r="363" spans="1:13" ht="15.75" customHeight="1">
      <c r="A363" s="234" t="s">
        <v>43</v>
      </c>
      <c r="B363" s="265">
        <f>ROUND(C363+D363+E363*2.9,0)</f>
        <v>16020</v>
      </c>
      <c r="C363" s="563">
        <v>8133</v>
      </c>
      <c r="D363" s="564">
        <v>860</v>
      </c>
      <c r="E363" s="565">
        <v>2423</v>
      </c>
      <c r="K363" s="232"/>
      <c r="L363" s="232"/>
      <c r="M363" s="232"/>
    </row>
    <row r="364" spans="1:13" ht="15.75" customHeight="1" thickBot="1">
      <c r="A364" s="266" t="s">
        <v>44</v>
      </c>
      <c r="B364" s="267">
        <f>ROUND(C364+D364+E364*2.9,0)-1</f>
        <v>9988</v>
      </c>
      <c r="C364" s="566">
        <v>5157</v>
      </c>
      <c r="D364" s="564">
        <v>470</v>
      </c>
      <c r="E364" s="565">
        <v>1504</v>
      </c>
      <c r="K364" s="232"/>
      <c r="L364" s="232"/>
      <c r="M364" s="232"/>
    </row>
    <row r="365" spans="1:8" ht="15.75" customHeight="1" thickBot="1">
      <c r="A365" s="241" t="s">
        <v>7</v>
      </c>
      <c r="B365" s="242">
        <f>SUM(B363:B364)</f>
        <v>26008</v>
      </c>
      <c r="C365" s="327">
        <f>SUM(C363:C364)</f>
        <v>13290</v>
      </c>
      <c r="D365" s="327">
        <f>SUM(D363:D364)</f>
        <v>1330</v>
      </c>
      <c r="E365" s="328">
        <f>SUM(E363:E364)</f>
        <v>3927</v>
      </c>
      <c r="F365" s="232"/>
      <c r="H365" s="232"/>
    </row>
    <row r="366" spans="1:6" ht="15" customHeight="1" thickBot="1">
      <c r="A366" s="597" t="s">
        <v>434</v>
      </c>
      <c r="B366" s="598"/>
      <c r="C366" s="598"/>
      <c r="D366" s="598"/>
      <c r="E366" s="598"/>
      <c r="F366" s="238"/>
    </row>
    <row r="367" spans="1:6" ht="15.75" customHeight="1">
      <c r="A367" s="254" t="s">
        <v>70</v>
      </c>
      <c r="B367" s="256">
        <f aca="true" t="shared" si="9" ref="B367:B373">ROUND(C367+D367+E367*2.9,0)</f>
        <v>600</v>
      </c>
      <c r="C367" s="369">
        <v>136</v>
      </c>
      <c r="D367" s="370">
        <v>0</v>
      </c>
      <c r="E367" s="371">
        <v>160</v>
      </c>
      <c r="F367" s="238"/>
    </row>
    <row r="368" spans="1:6" ht="15.75" customHeight="1">
      <c r="A368" s="244" t="s">
        <v>362</v>
      </c>
      <c r="B368" s="257">
        <f t="shared" si="9"/>
        <v>200</v>
      </c>
      <c r="C368" s="369">
        <v>55</v>
      </c>
      <c r="D368" s="370">
        <v>0</v>
      </c>
      <c r="E368" s="371">
        <v>50</v>
      </c>
      <c r="F368" s="238"/>
    </row>
    <row r="369" spans="1:6" ht="15.75" customHeight="1">
      <c r="A369" s="244" t="s">
        <v>1</v>
      </c>
      <c r="B369" s="257">
        <f t="shared" si="9"/>
        <v>200</v>
      </c>
      <c r="C369" s="369">
        <v>55</v>
      </c>
      <c r="D369" s="370">
        <v>0</v>
      </c>
      <c r="E369" s="371">
        <v>50</v>
      </c>
      <c r="F369" s="238"/>
    </row>
    <row r="370" spans="1:6" ht="15.75" customHeight="1">
      <c r="A370" s="244" t="s">
        <v>33</v>
      </c>
      <c r="B370" s="257">
        <f t="shared" si="9"/>
        <v>350</v>
      </c>
      <c r="C370" s="369">
        <v>89</v>
      </c>
      <c r="D370" s="370">
        <v>0</v>
      </c>
      <c r="E370" s="371">
        <v>90</v>
      </c>
      <c r="F370" s="238"/>
    </row>
    <row r="371" spans="1:6" ht="15.75" customHeight="1">
      <c r="A371" s="244" t="s">
        <v>64</v>
      </c>
      <c r="B371" s="257">
        <f t="shared" si="9"/>
        <v>350</v>
      </c>
      <c r="C371" s="369">
        <v>89</v>
      </c>
      <c r="D371" s="370">
        <v>0</v>
      </c>
      <c r="E371" s="371">
        <v>90</v>
      </c>
      <c r="F371" s="238"/>
    </row>
    <row r="372" spans="1:6" ht="15.75" customHeight="1">
      <c r="A372" s="244" t="s">
        <v>78</v>
      </c>
      <c r="B372" s="257">
        <f t="shared" si="9"/>
        <v>100</v>
      </c>
      <c r="C372" s="382">
        <v>13</v>
      </c>
      <c r="D372" s="370">
        <v>0</v>
      </c>
      <c r="E372" s="371">
        <v>30</v>
      </c>
      <c r="F372" s="238"/>
    </row>
    <row r="373" spans="1:13" ht="18.75" customHeight="1" thickBot="1">
      <c r="A373" s="234" t="s">
        <v>43</v>
      </c>
      <c r="B373" s="246">
        <f t="shared" si="9"/>
        <v>12686</v>
      </c>
      <c r="C373" s="364">
        <v>6170</v>
      </c>
      <c r="D373" s="365">
        <v>0</v>
      </c>
      <c r="E373" s="366">
        <v>2247</v>
      </c>
      <c r="K373" s="232"/>
      <c r="L373" s="232"/>
      <c r="M373" s="232"/>
    </row>
    <row r="374" spans="1:8" ht="18.75" customHeight="1" thickBot="1">
      <c r="A374" s="241" t="s">
        <v>7</v>
      </c>
      <c r="B374" s="242">
        <f>SUM(B367:B373)</f>
        <v>14486</v>
      </c>
      <c r="C374" s="243">
        <f>SUM(C367:C373)</f>
        <v>6607</v>
      </c>
      <c r="D374" s="243">
        <f>SUM(D367:D373)</f>
        <v>0</v>
      </c>
      <c r="E374" s="368">
        <f>SUM(E367:E373)</f>
        <v>2717</v>
      </c>
      <c r="F374" s="232"/>
      <c r="H374" s="232"/>
    </row>
    <row r="375" spans="1:6" ht="21.75" customHeight="1" thickBot="1">
      <c r="A375" s="597" t="s">
        <v>435</v>
      </c>
      <c r="B375" s="598"/>
      <c r="C375" s="598"/>
      <c r="D375" s="598"/>
      <c r="E375" s="598"/>
      <c r="F375" s="238"/>
    </row>
    <row r="376" spans="1:5" ht="19.5" customHeight="1" thickBot="1">
      <c r="A376" s="264" t="s">
        <v>43</v>
      </c>
      <c r="B376" s="265">
        <f>ROUND(C376+D376+E376*2.9,0)</f>
        <v>4131</v>
      </c>
      <c r="C376" s="329">
        <v>4131</v>
      </c>
      <c r="D376" s="330">
        <v>0</v>
      </c>
      <c r="E376" s="331">
        <v>0</v>
      </c>
    </row>
    <row r="377" spans="1:5" ht="18.75" customHeight="1" thickBot="1">
      <c r="A377" s="241" t="s">
        <v>7</v>
      </c>
      <c r="B377" s="242">
        <f>SUM(B376:B376)</f>
        <v>4131</v>
      </c>
      <c r="C377" s="327">
        <f>SUM(C376:C376)</f>
        <v>4131</v>
      </c>
      <c r="D377" s="327">
        <f>SUM(D376:D376)</f>
        <v>0</v>
      </c>
      <c r="E377" s="328">
        <f>SUM(E376:E376)</f>
        <v>0</v>
      </c>
    </row>
    <row r="378" spans="1:5" ht="19.5" customHeight="1" thickBot="1">
      <c r="A378" s="597" t="s">
        <v>436</v>
      </c>
      <c r="B378" s="598"/>
      <c r="C378" s="598"/>
      <c r="D378" s="598"/>
      <c r="E378" s="598"/>
    </row>
    <row r="379" spans="1:13" ht="13.5" customHeight="1">
      <c r="A379" s="234" t="s">
        <v>43</v>
      </c>
      <c r="B379" s="265">
        <f>ROUND(C379+D379+E379*2.9,0)</f>
        <v>2048</v>
      </c>
      <c r="C379" s="563">
        <v>893</v>
      </c>
      <c r="D379" s="564">
        <v>56</v>
      </c>
      <c r="E379" s="565">
        <v>379</v>
      </c>
      <c r="K379" s="232"/>
      <c r="L379" s="232"/>
      <c r="M379" s="232"/>
    </row>
    <row r="380" spans="1:13" ht="21" customHeight="1" thickBot="1">
      <c r="A380" s="266" t="s">
        <v>44</v>
      </c>
      <c r="B380" s="265">
        <f>ROUND(C380+D380+E380*2.9,0)</f>
        <v>786</v>
      </c>
      <c r="C380" s="566">
        <v>221</v>
      </c>
      <c r="D380" s="564">
        <v>14</v>
      </c>
      <c r="E380" s="567">
        <v>190</v>
      </c>
      <c r="F380" s="232"/>
      <c r="K380" s="232"/>
      <c r="L380" s="232"/>
      <c r="M380" s="232"/>
    </row>
    <row r="381" spans="1:8" ht="18.75" customHeight="1" thickBot="1">
      <c r="A381" s="241" t="s">
        <v>7</v>
      </c>
      <c r="B381" s="242">
        <f>SUM(B379:B380)</f>
        <v>2834</v>
      </c>
      <c r="C381" s="327">
        <f>SUM(C379:C380)</f>
        <v>1114</v>
      </c>
      <c r="D381" s="327">
        <f>SUM(D379:D380)</f>
        <v>70</v>
      </c>
      <c r="E381" s="328">
        <f>SUM(E379:E380)</f>
        <v>569</v>
      </c>
      <c r="F381" s="232"/>
      <c r="H381" s="232"/>
    </row>
    <row r="382" spans="1:13" ht="18.75" customHeight="1" thickBot="1">
      <c r="A382" s="597" t="s">
        <v>437</v>
      </c>
      <c r="B382" s="598"/>
      <c r="C382" s="598"/>
      <c r="D382" s="598"/>
      <c r="E382" s="598"/>
      <c r="F382" s="238"/>
      <c r="K382" s="232"/>
      <c r="L382" s="232"/>
      <c r="M382" s="232"/>
    </row>
    <row r="383" spans="1:5" ht="18.75" customHeight="1" thickBot="1">
      <c r="A383" s="264" t="s">
        <v>72</v>
      </c>
      <c r="B383" s="265">
        <f>ROUND(C383+D383+E383*2.9,0)</f>
        <v>580</v>
      </c>
      <c r="C383" s="329">
        <v>0</v>
      </c>
      <c r="D383" s="330">
        <v>0</v>
      </c>
      <c r="E383" s="374">
        <v>200</v>
      </c>
    </row>
    <row r="384" spans="1:5" ht="18.75" customHeight="1" thickBot="1">
      <c r="A384" s="241" t="s">
        <v>7</v>
      </c>
      <c r="B384" s="242">
        <f>SUM(B383:B383)</f>
        <v>580</v>
      </c>
      <c r="C384" s="327">
        <f>SUM(C383:C383)</f>
        <v>0</v>
      </c>
      <c r="D384" s="327">
        <f>SUM(D383:D383)</f>
        <v>0</v>
      </c>
      <c r="E384" s="328">
        <f>SUM(E383:E383)</f>
        <v>200</v>
      </c>
    </row>
    <row r="385" spans="1:5" ht="18.75" customHeight="1" thickBot="1">
      <c r="A385" s="597" t="s">
        <v>438</v>
      </c>
      <c r="B385" s="598"/>
      <c r="C385" s="598"/>
      <c r="D385" s="598"/>
      <c r="E385" s="598"/>
    </row>
    <row r="386" spans="1:5" ht="18.75" customHeight="1" thickBot="1">
      <c r="A386" s="264" t="s">
        <v>507</v>
      </c>
      <c r="B386" s="265">
        <f>ROUND(C386+D386+E386*2.9,0)</f>
        <v>6</v>
      </c>
      <c r="C386" s="329">
        <v>6</v>
      </c>
      <c r="D386" s="330">
        <v>0</v>
      </c>
      <c r="E386" s="374">
        <v>0</v>
      </c>
    </row>
    <row r="387" spans="1:5" ht="18.75" customHeight="1" thickBot="1">
      <c r="A387" s="241" t="s">
        <v>7</v>
      </c>
      <c r="B387" s="242">
        <f>SUM(B386:B386)</f>
        <v>6</v>
      </c>
      <c r="C387" s="327">
        <f>SUM(C386:C386)</f>
        <v>6</v>
      </c>
      <c r="D387" s="327">
        <f>SUM(D386:D386)</f>
        <v>0</v>
      </c>
      <c r="E387" s="328">
        <f>SUM(E386:E386)</f>
        <v>0</v>
      </c>
    </row>
    <row r="388" spans="1:5" ht="31.5" customHeight="1" thickBot="1">
      <c r="A388" s="597" t="s">
        <v>439</v>
      </c>
      <c r="B388" s="598"/>
      <c r="C388" s="598"/>
      <c r="D388" s="598"/>
      <c r="E388" s="598"/>
    </row>
    <row r="389" spans="1:9" ht="29.25" customHeight="1" thickBot="1">
      <c r="A389" s="241" t="s">
        <v>207</v>
      </c>
      <c r="B389" s="288">
        <f>ROUND(C389+D389+E389*2.9,0)</f>
        <v>21028</v>
      </c>
      <c r="C389" s="327">
        <v>8331</v>
      </c>
      <c r="D389" s="327">
        <v>2115</v>
      </c>
      <c r="E389" s="328">
        <v>3649</v>
      </c>
      <c r="F389" s="232"/>
      <c r="G389" s="232"/>
      <c r="H389" s="232"/>
      <c r="I389" s="232"/>
    </row>
    <row r="390" spans="1:15" ht="29.25" thickBot="1">
      <c r="A390" s="268" t="s">
        <v>14</v>
      </c>
      <c r="B390" s="350">
        <f>B381+B377+B374+B365+B361+B357+B354+B351+B328+B304+B284+B262+B243+B225+B204+B181+B176+B134+B112+B91+B87+B75+B120+B384+B389+B387</f>
        <v>1173506</v>
      </c>
      <c r="C390" s="350">
        <f>C381+C377+C374+C365+C361+C357+C354+C351+C328+C304+C284+C262+C243+C225+C204+C181+C176+C134+C112+C91+C87+C75+C120+C384+C389+C387</f>
        <v>402427</v>
      </c>
      <c r="D390" s="350">
        <f>D381+D377+D374+D365+D361+D357+D354+D351+D328+D304+D284+D262+D243+D225+D204+D181+D176+D134+D112+D91+D87+D75+D120+D384+D389+D387</f>
        <v>72631</v>
      </c>
      <c r="E390" s="351">
        <f>E381+E377+E374+E365+E361+E357+E354+E351+E328+E304+E284+E262+E243+E225+E204+E181+E176+E134+E112+E91+E87+E75+E120+E384+E389+E387</f>
        <v>240844</v>
      </c>
      <c r="G390" s="232">
        <f>H390+I390+J390*2.9</f>
        <v>1173505.6</v>
      </c>
      <c r="H390" s="231">
        <f>35722+44575+286926+35204</f>
        <v>402427</v>
      </c>
      <c r="I390" s="231">
        <v>72631</v>
      </c>
      <c r="J390" s="231">
        <f>240447+397</f>
        <v>240844</v>
      </c>
      <c r="L390" s="232"/>
      <c r="M390" s="232"/>
      <c r="N390" s="232"/>
      <c r="O390" s="232"/>
    </row>
    <row r="391" spans="1:15" s="275" customFormat="1" ht="51" customHeight="1">
      <c r="A391" s="287" t="s">
        <v>386</v>
      </c>
      <c r="B391" s="271">
        <f>ROUND(C391+D391+E391*2.9,0)</f>
        <v>80297</v>
      </c>
      <c r="C391" s="324">
        <f>SUM(C392:C397)-C393</f>
        <v>80297</v>
      </c>
      <c r="D391" s="324">
        <f>SUM(D392:D397)-D393</f>
        <v>0</v>
      </c>
      <c r="E391" s="324">
        <f>SUM(E392:E397)-E393</f>
        <v>0</v>
      </c>
      <c r="F391" s="276"/>
      <c r="G391" s="273">
        <f>G390-B390</f>
        <v>-0.39999999990686774</v>
      </c>
      <c r="H391" s="273">
        <f>H390-C390</f>
        <v>0</v>
      </c>
      <c r="I391" s="273">
        <f>I390-D390</f>
        <v>0</v>
      </c>
      <c r="J391" s="273">
        <f>J390-E390</f>
        <v>0</v>
      </c>
      <c r="K391" s="276"/>
      <c r="L391" s="232"/>
      <c r="M391" s="232"/>
      <c r="N391" s="232"/>
      <c r="O391" s="232"/>
    </row>
    <row r="392" spans="1:15" s="275" customFormat="1" ht="30" customHeight="1">
      <c r="A392" s="270" t="s">
        <v>385</v>
      </c>
      <c r="B392" s="271">
        <f aca="true" t="shared" si="10" ref="B392:B397">ROUND(C392+D392+E392*2.9,0)</f>
        <v>44041</v>
      </c>
      <c r="C392" s="324">
        <f>C126+C140+C185+C208+C229+C247+C266+C288+C308+C332+C42</f>
        <v>44041</v>
      </c>
      <c r="D392" s="325">
        <f>D126+D140+D185+D208+D229+D247+D266+D288+D308+D332</f>
        <v>0</v>
      </c>
      <c r="E392" s="326">
        <f>E126+E140+E185+E208+E229+E247+E266+E288+E308+E332</f>
        <v>0</v>
      </c>
      <c r="F392" s="276"/>
      <c r="G392" s="273">
        <f>'1.1. ПРОФ.МЕРОПРИЯТИЯ'!E22</f>
        <v>44041</v>
      </c>
      <c r="H392" s="276"/>
      <c r="I392" s="276"/>
      <c r="J392" s="276"/>
      <c r="K392" s="276"/>
      <c r="L392" s="232"/>
      <c r="M392" s="232"/>
      <c r="N392" s="232"/>
      <c r="O392" s="232"/>
    </row>
    <row r="393" spans="1:15" s="275" customFormat="1" ht="23.25" customHeight="1">
      <c r="A393" s="270" t="s">
        <v>384</v>
      </c>
      <c r="B393" s="271">
        <f t="shared" si="10"/>
        <v>3020</v>
      </c>
      <c r="C393" s="324">
        <f>C127+C141+C186+C209+C230+C248+C267+C289+C309+C333+C43</f>
        <v>3020</v>
      </c>
      <c r="D393" s="325">
        <f>D127+D141+D186+D209+D230+D248+D267+D289+D309+D333</f>
        <v>0</v>
      </c>
      <c r="E393" s="326">
        <f>E127+E141+E186+E209+E230+E248+E267+E289+E309+E333</f>
        <v>0</v>
      </c>
      <c r="F393" s="276"/>
      <c r="G393" s="273">
        <f>'1.1. ПРОФ.МЕРОПРИЯТИЯ'!F22</f>
        <v>3020</v>
      </c>
      <c r="H393" s="276"/>
      <c r="I393" s="276"/>
      <c r="J393" s="276"/>
      <c r="K393" s="276"/>
      <c r="L393" s="232"/>
      <c r="M393" s="232"/>
      <c r="N393" s="232"/>
      <c r="O393" s="232"/>
    </row>
    <row r="394" spans="1:15" s="275" customFormat="1" ht="28.5" customHeight="1">
      <c r="A394" s="270" t="s">
        <v>206</v>
      </c>
      <c r="B394" s="271">
        <f t="shared" si="10"/>
        <v>9683</v>
      </c>
      <c r="C394" s="324">
        <f>C127+C142+C186+C209+C230+C248+C267+C289+C309+C333+C44</f>
        <v>9683</v>
      </c>
      <c r="D394" s="325">
        <f>D127+D142+D186+D209+D230+D248+D267+D289+D309+D333</f>
        <v>0</v>
      </c>
      <c r="E394" s="326">
        <f>E127+E142+E186+E209+E230+E248+E267+E289+E309+E333</f>
        <v>0</v>
      </c>
      <c r="F394" s="276"/>
      <c r="G394" s="273">
        <f>'1.1. ПРОФ.МЕРОПРИЯТИЯ'!I22</f>
        <v>9683</v>
      </c>
      <c r="H394" s="276"/>
      <c r="I394" s="276"/>
      <c r="J394" s="276"/>
      <c r="K394" s="276"/>
      <c r="L394" s="232"/>
      <c r="M394" s="232"/>
      <c r="N394" s="232"/>
      <c r="O394" s="232"/>
    </row>
    <row r="395" spans="1:15" s="272" customFormat="1" ht="30">
      <c r="A395" s="270" t="s">
        <v>148</v>
      </c>
      <c r="B395" s="271">
        <f t="shared" si="10"/>
        <v>250</v>
      </c>
      <c r="C395" s="324">
        <f>C96+C189+C212+C252+C270+C292+C312+C336+C233+C27</f>
        <v>250</v>
      </c>
      <c r="D395" s="325">
        <f aca="true" t="shared" si="11" ref="D395:E397">D96+D189+D212+D252+D270+D292+D312+D336+D233</f>
        <v>0</v>
      </c>
      <c r="E395" s="326">
        <f t="shared" si="11"/>
        <v>0</v>
      </c>
      <c r="G395" s="273">
        <f>'1.1. ПРОФ.МЕРОПРИЯТИЯ'!C22</f>
        <v>250</v>
      </c>
      <c r="H395" s="276"/>
      <c r="I395" s="273"/>
      <c r="J395" s="273"/>
      <c r="K395" s="273"/>
      <c r="L395" s="232"/>
      <c r="M395" s="232"/>
      <c r="N395" s="232"/>
      <c r="O395" s="232"/>
    </row>
    <row r="396" spans="1:15" s="272" customFormat="1" ht="28.5" customHeight="1">
      <c r="A396" s="270" t="s">
        <v>149</v>
      </c>
      <c r="B396" s="271">
        <f t="shared" si="10"/>
        <v>284</v>
      </c>
      <c r="C396" s="324">
        <f>C97+C190+C213+C253+C271+C293+C313+C337+C234+C28</f>
        <v>284</v>
      </c>
      <c r="D396" s="325">
        <f t="shared" si="11"/>
        <v>0</v>
      </c>
      <c r="E396" s="326">
        <f t="shared" si="11"/>
        <v>0</v>
      </c>
      <c r="G396" s="273">
        <f>'1.1. ПРОФ.МЕРОПРИЯТИЯ'!D22</f>
        <v>284</v>
      </c>
      <c r="H396" s="276"/>
      <c r="I396" s="273"/>
      <c r="J396" s="273"/>
      <c r="K396" s="273"/>
      <c r="L396" s="232"/>
      <c r="M396" s="232"/>
      <c r="N396" s="232"/>
      <c r="O396" s="232"/>
    </row>
    <row r="397" spans="1:15" s="272" customFormat="1" ht="30">
      <c r="A397" s="270" t="s">
        <v>150</v>
      </c>
      <c r="B397" s="271">
        <f t="shared" si="10"/>
        <v>26039</v>
      </c>
      <c r="C397" s="324">
        <f>C98+C191+C214+C254+C272+C294+C314+C338+C235+C29</f>
        <v>26039</v>
      </c>
      <c r="D397" s="325">
        <f t="shared" si="11"/>
        <v>0</v>
      </c>
      <c r="E397" s="326">
        <f t="shared" si="11"/>
        <v>0</v>
      </c>
      <c r="G397" s="273">
        <f>'1.1. ПРОФ.МЕРОПРИЯТИЯ'!H22</f>
        <v>26039</v>
      </c>
      <c r="H397" s="276"/>
      <c r="I397" s="273"/>
      <c r="J397" s="273"/>
      <c r="K397" s="273"/>
      <c r="L397" s="232"/>
      <c r="M397" s="232"/>
      <c r="N397" s="232"/>
      <c r="O397" s="232"/>
    </row>
    <row r="398" spans="1:7" s="262" customFormat="1" ht="30">
      <c r="A398" s="541" t="s">
        <v>387</v>
      </c>
      <c r="B398" s="522">
        <f>ROUND(C398+D398+E398*2.9,0)</f>
        <v>35204</v>
      </c>
      <c r="C398" s="534">
        <f>C177+C121+C76</f>
        <v>35204</v>
      </c>
      <c r="D398" s="324"/>
      <c r="E398" s="324"/>
      <c r="G398" s="269">
        <f>'1.2. Диспансерное наблюдение'!P22</f>
        <v>35204</v>
      </c>
    </row>
    <row r="399" spans="2:5" s="262" customFormat="1" ht="15">
      <c r="B399" s="269"/>
      <c r="C399" s="352"/>
      <c r="D399" s="352"/>
      <c r="E399" s="352"/>
    </row>
    <row r="400" spans="2:5" s="262" customFormat="1" ht="15">
      <c r="B400" s="269"/>
      <c r="C400" s="352">
        <f>C390-C391-C398</f>
        <v>286926</v>
      </c>
      <c r="D400" s="352"/>
      <c r="E400" s="352"/>
    </row>
    <row r="401" spans="2:5" s="262" customFormat="1" ht="15">
      <c r="B401" s="269"/>
      <c r="C401" s="352"/>
      <c r="D401" s="352"/>
      <c r="E401" s="352"/>
    </row>
    <row r="402" spans="3:5" s="262" customFormat="1" ht="15">
      <c r="C402" s="352"/>
      <c r="D402" s="353"/>
      <c r="E402" s="352"/>
    </row>
    <row r="403" spans="1:20" s="262" customFormat="1" ht="15.75">
      <c r="A403" s="568" t="s">
        <v>482</v>
      </c>
      <c r="B403" s="572">
        <f>B13+B72+B114+B116+B144+B367</f>
        <v>65586</v>
      </c>
      <c r="C403" s="572">
        <f>C13+C72+C114+C116+C144+C367</f>
        <v>32233</v>
      </c>
      <c r="D403" s="572">
        <f>D13+D72+D114+D116+D144+D367</f>
        <v>2279</v>
      </c>
      <c r="E403" s="572">
        <f>E13+E72+E114+E116+E144+E367</f>
        <v>10715</v>
      </c>
      <c r="F403" s="576">
        <f aca="true" t="shared" si="12" ref="F403:F431">SUM(G403:I403)</f>
        <v>67908</v>
      </c>
      <c r="G403" s="576">
        <f>C403-'1.2. Диспансерное наблюдение'!P9+'1.2. Диспансерное наблюдение'!P9*2</f>
        <v>34556</v>
      </c>
      <c r="H403" s="576">
        <f aca="true" t="shared" si="13" ref="H403:H431">D403</f>
        <v>2279</v>
      </c>
      <c r="I403" s="577">
        <f>ROUND(E403*2.9,0)-1</f>
        <v>31073</v>
      </c>
      <c r="K403" s="262">
        <f>ROUND(L403+M403+N403*2.9,0)</f>
        <v>1286</v>
      </c>
      <c r="L403" s="262">
        <v>366</v>
      </c>
      <c r="M403" s="262">
        <v>50</v>
      </c>
      <c r="N403" s="262">
        <v>300</v>
      </c>
      <c r="O403" s="585">
        <f aca="true" t="shared" si="14" ref="O403:O431">SUM(L403:N403)</f>
        <v>716</v>
      </c>
      <c r="Q403" s="586">
        <f aca="true" t="shared" si="15" ref="Q403:Q431">SUM(R403:T403)</f>
        <v>69194</v>
      </c>
      <c r="R403" s="269">
        <f>L403+G403</f>
        <v>34922</v>
      </c>
      <c r="S403" s="269">
        <f>M403+H403</f>
        <v>2329</v>
      </c>
      <c r="T403" s="269">
        <f>ROUND(N403*2.9,0)+I403</f>
        <v>31943</v>
      </c>
    </row>
    <row r="404" spans="1:20" s="262" customFormat="1" ht="15.75">
      <c r="A404" s="568" t="s">
        <v>483</v>
      </c>
      <c r="B404" s="572">
        <f>B100+B145</f>
        <v>2951</v>
      </c>
      <c r="C404" s="572">
        <f>C100+C145</f>
        <v>1161</v>
      </c>
      <c r="D404" s="572">
        <f>D100+D145</f>
        <v>68</v>
      </c>
      <c r="E404" s="572">
        <f>E100+E145</f>
        <v>594</v>
      </c>
      <c r="F404" s="269">
        <f t="shared" si="12"/>
        <v>2952</v>
      </c>
      <c r="G404" s="269">
        <f>C404</f>
        <v>1161</v>
      </c>
      <c r="H404" s="269">
        <f t="shared" si="13"/>
        <v>68</v>
      </c>
      <c r="I404" s="262">
        <f aca="true" t="shared" si="16" ref="I404:I412">ROUND(E404*2.9,0)</f>
        <v>1723</v>
      </c>
      <c r="K404" s="262">
        <f aca="true" t="shared" si="17" ref="K404:K431">ROUND(L404+M404+N404*2.9,0)</f>
        <v>37</v>
      </c>
      <c r="L404" s="262">
        <v>20</v>
      </c>
      <c r="M404" s="262">
        <v>0</v>
      </c>
      <c r="N404" s="262">
        <v>6</v>
      </c>
      <c r="O404" s="585">
        <f t="shared" si="14"/>
        <v>26</v>
      </c>
      <c r="Q404" s="586">
        <f t="shared" si="15"/>
        <v>2989</v>
      </c>
      <c r="R404" s="269">
        <f aca="true" t="shared" si="18" ref="R404:R431">L404+G404</f>
        <v>1181</v>
      </c>
      <c r="S404" s="269">
        <f aca="true" t="shared" si="19" ref="S404:S431">M404+H404</f>
        <v>68</v>
      </c>
      <c r="T404" s="269">
        <f aca="true" t="shared" si="20" ref="T404:T431">ROUND(N404*2.9,0)+I404</f>
        <v>1740</v>
      </c>
    </row>
    <row r="405" spans="1:20" s="262" customFormat="1" ht="15.75">
      <c r="A405" s="568" t="s">
        <v>47</v>
      </c>
      <c r="B405" s="572">
        <f>B15+B146</f>
        <v>20252</v>
      </c>
      <c r="C405" s="572">
        <f>C15+C146</f>
        <v>4862</v>
      </c>
      <c r="D405" s="572">
        <f>D15+D146</f>
        <v>962</v>
      </c>
      <c r="E405" s="572">
        <f>E15+E146</f>
        <v>4975</v>
      </c>
      <c r="F405" s="269">
        <f t="shared" si="12"/>
        <v>20251</v>
      </c>
      <c r="G405" s="269">
        <f>C405</f>
        <v>4862</v>
      </c>
      <c r="H405" s="269">
        <f t="shared" si="13"/>
        <v>962</v>
      </c>
      <c r="I405" s="262">
        <f>ROUND(E405*2.9,0)-1</f>
        <v>14427</v>
      </c>
      <c r="K405" s="262">
        <f t="shared" si="17"/>
        <v>0</v>
      </c>
      <c r="L405" s="262">
        <v>0</v>
      </c>
      <c r="M405" s="262">
        <v>0</v>
      </c>
      <c r="N405" s="262">
        <v>0</v>
      </c>
      <c r="O405" s="585">
        <f t="shared" si="14"/>
        <v>0</v>
      </c>
      <c r="Q405" s="586">
        <f t="shared" si="15"/>
        <v>20251</v>
      </c>
      <c r="R405" s="269">
        <f t="shared" si="18"/>
        <v>4862</v>
      </c>
      <c r="S405" s="269">
        <f t="shared" si="19"/>
        <v>962</v>
      </c>
      <c r="T405" s="269">
        <f t="shared" si="20"/>
        <v>14427</v>
      </c>
    </row>
    <row r="406" spans="1:20" s="262" customFormat="1" ht="15.75">
      <c r="A406" s="568" t="s">
        <v>484</v>
      </c>
      <c r="B406" s="572">
        <f>B21+B108+B147</f>
        <v>7469</v>
      </c>
      <c r="C406" s="572">
        <f>C21+C108+C147</f>
        <v>2035</v>
      </c>
      <c r="D406" s="572">
        <f>D21+D108+D147</f>
        <v>341</v>
      </c>
      <c r="E406" s="572">
        <f>E21+E108+E147</f>
        <v>1756</v>
      </c>
      <c r="F406" s="269">
        <f t="shared" si="12"/>
        <v>7468</v>
      </c>
      <c r="G406" s="269">
        <f>C406</f>
        <v>2035</v>
      </c>
      <c r="H406" s="269">
        <f t="shared" si="13"/>
        <v>341</v>
      </c>
      <c r="I406" s="262">
        <f t="shared" si="16"/>
        <v>5092</v>
      </c>
      <c r="K406" s="262">
        <f t="shared" si="17"/>
        <v>190</v>
      </c>
      <c r="L406" s="262">
        <v>17</v>
      </c>
      <c r="M406" s="262">
        <v>5</v>
      </c>
      <c r="N406" s="262">
        <v>58</v>
      </c>
      <c r="O406" s="585">
        <f>SUM(L406:N406)</f>
        <v>80</v>
      </c>
      <c r="Q406" s="575">
        <f t="shared" si="15"/>
        <v>7658</v>
      </c>
      <c r="R406" s="269">
        <f t="shared" si="18"/>
        <v>2052</v>
      </c>
      <c r="S406" s="269">
        <f t="shared" si="19"/>
        <v>346</v>
      </c>
      <c r="T406" s="269">
        <f t="shared" si="20"/>
        <v>5260</v>
      </c>
    </row>
    <row r="407" spans="1:20" s="262" customFormat="1" ht="15.75">
      <c r="A407" s="569" t="s">
        <v>485</v>
      </c>
      <c r="B407" s="572">
        <f>B30</f>
        <v>989</v>
      </c>
      <c r="C407" s="572">
        <f>C30</f>
        <v>600</v>
      </c>
      <c r="D407" s="572">
        <f>D30</f>
        <v>0</v>
      </c>
      <c r="E407" s="572">
        <f>E30</f>
        <v>134</v>
      </c>
      <c r="F407" s="269">
        <f t="shared" si="12"/>
        <v>989</v>
      </c>
      <c r="G407" s="269">
        <f>C407</f>
        <v>600</v>
      </c>
      <c r="H407" s="269">
        <f t="shared" si="13"/>
        <v>0</v>
      </c>
      <c r="I407" s="262">
        <f t="shared" si="16"/>
        <v>389</v>
      </c>
      <c r="K407" s="262">
        <f t="shared" si="17"/>
        <v>72</v>
      </c>
      <c r="L407" s="262">
        <v>14</v>
      </c>
      <c r="N407" s="262">
        <v>20</v>
      </c>
      <c r="O407" s="585">
        <f t="shared" si="14"/>
        <v>34</v>
      </c>
      <c r="Q407" s="575">
        <f t="shared" si="15"/>
        <v>1061</v>
      </c>
      <c r="R407" s="269">
        <f t="shared" si="18"/>
        <v>614</v>
      </c>
      <c r="S407" s="269">
        <f t="shared" si="19"/>
        <v>0</v>
      </c>
      <c r="T407" s="269">
        <f t="shared" si="20"/>
        <v>447</v>
      </c>
    </row>
    <row r="408" spans="1:20" s="262" customFormat="1" ht="15.75">
      <c r="A408" s="569" t="s">
        <v>486</v>
      </c>
      <c r="B408" s="572">
        <f>B168</f>
        <v>2438</v>
      </c>
      <c r="C408" s="572">
        <f>C168</f>
        <v>631</v>
      </c>
      <c r="D408" s="572">
        <f>D168</f>
        <v>171</v>
      </c>
      <c r="E408" s="572">
        <f>E168</f>
        <v>564</v>
      </c>
      <c r="F408" s="269">
        <f t="shared" si="12"/>
        <v>2438</v>
      </c>
      <c r="G408" s="269">
        <f>C408</f>
        <v>631</v>
      </c>
      <c r="H408" s="269">
        <f t="shared" si="13"/>
        <v>171</v>
      </c>
      <c r="I408" s="262">
        <f t="shared" si="16"/>
        <v>1636</v>
      </c>
      <c r="K408" s="262">
        <f t="shared" si="17"/>
        <v>12</v>
      </c>
      <c r="L408" s="262">
        <v>0</v>
      </c>
      <c r="M408" s="262">
        <v>0</v>
      </c>
      <c r="N408" s="262">
        <v>4</v>
      </c>
      <c r="O408" s="585">
        <f t="shared" si="14"/>
        <v>4</v>
      </c>
      <c r="Q408" s="586">
        <f t="shared" si="15"/>
        <v>2450</v>
      </c>
      <c r="R408" s="269">
        <f t="shared" si="18"/>
        <v>631</v>
      </c>
      <c r="S408" s="269">
        <f t="shared" si="19"/>
        <v>171</v>
      </c>
      <c r="T408" s="269">
        <f t="shared" si="20"/>
        <v>1648</v>
      </c>
    </row>
    <row r="409" spans="1:20" s="262" customFormat="1" ht="15.75">
      <c r="A409" s="568" t="s">
        <v>487</v>
      </c>
      <c r="B409" s="572">
        <f>B55+B63+B148</f>
        <v>33456</v>
      </c>
      <c r="C409" s="572">
        <f>C55+C63+C148</f>
        <v>9258</v>
      </c>
      <c r="D409" s="572">
        <f>D55+D63+D148</f>
        <v>534</v>
      </c>
      <c r="E409" s="572">
        <f>E55+E63+E148</f>
        <v>8160</v>
      </c>
      <c r="F409" s="576">
        <f t="shared" si="12"/>
        <v>34442</v>
      </c>
      <c r="G409" s="576">
        <f>C409-'1.2. Диспансерное наблюдение'!P10+'1.2. Диспансерное наблюдение'!P10*2</f>
        <v>10244</v>
      </c>
      <c r="H409" s="576">
        <f t="shared" si="13"/>
        <v>534</v>
      </c>
      <c r="I409" s="577">
        <f t="shared" si="16"/>
        <v>23664</v>
      </c>
      <c r="K409" s="262">
        <f t="shared" si="17"/>
        <v>508</v>
      </c>
      <c r="L409" s="262">
        <v>218</v>
      </c>
      <c r="M409" s="262">
        <v>0</v>
      </c>
      <c r="N409" s="262">
        <v>100</v>
      </c>
      <c r="O409" s="585">
        <f t="shared" si="14"/>
        <v>318</v>
      </c>
      <c r="Q409" s="586">
        <f t="shared" si="15"/>
        <v>34950</v>
      </c>
      <c r="R409" s="269">
        <f t="shared" si="18"/>
        <v>10462</v>
      </c>
      <c r="S409" s="269">
        <f t="shared" si="19"/>
        <v>534</v>
      </c>
      <c r="T409" s="269">
        <f t="shared" si="20"/>
        <v>23954</v>
      </c>
    </row>
    <row r="410" spans="1:20" s="262" customFormat="1" ht="15.75">
      <c r="A410" s="570" t="s">
        <v>488</v>
      </c>
      <c r="B410" s="572">
        <f>B22+B107+B149</f>
        <v>15083</v>
      </c>
      <c r="C410" s="572">
        <f>C22+C107+C149</f>
        <v>4480</v>
      </c>
      <c r="D410" s="572">
        <f>D22+D107+D149</f>
        <v>1300</v>
      </c>
      <c r="E410" s="572">
        <f>E22+E107+E149</f>
        <v>3208</v>
      </c>
      <c r="F410" s="576">
        <f t="shared" si="12"/>
        <v>15752</v>
      </c>
      <c r="G410" s="576">
        <f>C410-'1.2. Диспансерное наблюдение'!P11+'1.2. Диспансерное наблюдение'!P11*2</f>
        <v>5149</v>
      </c>
      <c r="H410" s="576">
        <f t="shared" si="13"/>
        <v>1300</v>
      </c>
      <c r="I410" s="577">
        <f t="shared" si="16"/>
        <v>9303</v>
      </c>
      <c r="K410" s="262">
        <f t="shared" si="17"/>
        <v>293</v>
      </c>
      <c r="L410" s="262">
        <v>100</v>
      </c>
      <c r="M410" s="262">
        <v>10</v>
      </c>
      <c r="N410" s="262">
        <v>63</v>
      </c>
      <c r="O410" s="585">
        <f t="shared" si="14"/>
        <v>173</v>
      </c>
      <c r="Q410" s="586">
        <f t="shared" si="15"/>
        <v>16045</v>
      </c>
      <c r="R410" s="269">
        <f t="shared" si="18"/>
        <v>5249</v>
      </c>
      <c r="S410" s="269">
        <f t="shared" si="19"/>
        <v>1310</v>
      </c>
      <c r="T410" s="269">
        <f t="shared" si="20"/>
        <v>9486</v>
      </c>
    </row>
    <row r="411" spans="1:20" s="262" customFormat="1" ht="15.75">
      <c r="A411" s="568" t="s">
        <v>489</v>
      </c>
      <c r="B411" s="572">
        <f>B16+B93+B136</f>
        <v>12047</v>
      </c>
      <c r="C411" s="572">
        <f>C16+C93+C136</f>
        <v>3182</v>
      </c>
      <c r="D411" s="572">
        <f>D16+D93+D136</f>
        <v>476</v>
      </c>
      <c r="E411" s="572">
        <f>E16+E93+E136</f>
        <v>2893</v>
      </c>
      <c r="F411" s="576">
        <f t="shared" si="12"/>
        <v>12435</v>
      </c>
      <c r="G411" s="576">
        <f>C411-'1.2. Диспансерное наблюдение'!P12+'1.2. Диспансерное наблюдение'!P12*2</f>
        <v>3569</v>
      </c>
      <c r="H411" s="576">
        <f t="shared" si="13"/>
        <v>476</v>
      </c>
      <c r="I411" s="577">
        <f t="shared" si="16"/>
        <v>8390</v>
      </c>
      <c r="K411" s="262">
        <f t="shared" si="17"/>
        <v>371</v>
      </c>
      <c r="L411" s="262">
        <v>180</v>
      </c>
      <c r="M411" s="262">
        <v>20</v>
      </c>
      <c r="N411" s="262">
        <v>59</v>
      </c>
      <c r="O411" s="585">
        <f t="shared" si="14"/>
        <v>259</v>
      </c>
      <c r="Q411" s="586">
        <f t="shared" si="15"/>
        <v>12806</v>
      </c>
      <c r="R411" s="269">
        <f t="shared" si="18"/>
        <v>3749</v>
      </c>
      <c r="S411" s="269">
        <f t="shared" si="19"/>
        <v>496</v>
      </c>
      <c r="T411" s="269">
        <f t="shared" si="20"/>
        <v>8561</v>
      </c>
    </row>
    <row r="412" spans="1:20" s="262" customFormat="1" ht="15.75">
      <c r="A412" s="569" t="s">
        <v>490</v>
      </c>
      <c r="B412" s="572">
        <f>B371</f>
        <v>350</v>
      </c>
      <c r="C412" s="572">
        <f>C371</f>
        <v>89</v>
      </c>
      <c r="D412" s="572">
        <f>D371</f>
        <v>0</v>
      </c>
      <c r="E412" s="572">
        <f>E371</f>
        <v>90</v>
      </c>
      <c r="F412" s="269">
        <f t="shared" si="12"/>
        <v>350</v>
      </c>
      <c r="G412" s="269">
        <f>C412</f>
        <v>89</v>
      </c>
      <c r="H412" s="269">
        <f t="shared" si="13"/>
        <v>0</v>
      </c>
      <c r="I412" s="262">
        <f t="shared" si="16"/>
        <v>261</v>
      </c>
      <c r="K412" s="262">
        <f t="shared" si="17"/>
        <v>22</v>
      </c>
      <c r="L412" s="262">
        <v>10</v>
      </c>
      <c r="M412" s="262">
        <v>0</v>
      </c>
      <c r="N412" s="262">
        <v>4</v>
      </c>
      <c r="O412" s="585">
        <f t="shared" si="14"/>
        <v>14</v>
      </c>
      <c r="Q412" s="575">
        <f t="shared" si="15"/>
        <v>372</v>
      </c>
      <c r="R412" s="269">
        <f t="shared" si="18"/>
        <v>99</v>
      </c>
      <c r="S412" s="269">
        <f t="shared" si="19"/>
        <v>0</v>
      </c>
      <c r="T412" s="269">
        <f>ROUND(N412*2.9,0)+I412</f>
        <v>273</v>
      </c>
    </row>
    <row r="413" spans="1:20" s="262" customFormat="1" ht="15.75">
      <c r="A413" s="569" t="s">
        <v>508</v>
      </c>
      <c r="B413" s="572">
        <f>B383+B175</f>
        <v>1151</v>
      </c>
      <c r="C413" s="572">
        <f>C383+C175</f>
        <v>0</v>
      </c>
      <c r="D413" s="572">
        <f>D383+D175</f>
        <v>0</v>
      </c>
      <c r="E413" s="572">
        <f>E383+E175</f>
        <v>397</v>
      </c>
      <c r="F413" s="269">
        <f t="shared" si="12"/>
        <v>3970</v>
      </c>
      <c r="G413" s="269">
        <f>C413</f>
        <v>0</v>
      </c>
      <c r="H413" s="269">
        <f t="shared" si="13"/>
        <v>0</v>
      </c>
      <c r="I413" s="262">
        <f>ROUND(E413*10,0)</f>
        <v>3970</v>
      </c>
      <c r="K413" s="262">
        <f t="shared" si="17"/>
        <v>0</v>
      </c>
      <c r="L413" s="262">
        <v>0</v>
      </c>
      <c r="M413" s="262">
        <v>0</v>
      </c>
      <c r="N413" s="262">
        <v>0</v>
      </c>
      <c r="O413" s="585">
        <f t="shared" si="14"/>
        <v>0</v>
      </c>
      <c r="Q413" s="586">
        <f t="shared" si="15"/>
        <v>3970</v>
      </c>
      <c r="R413" s="269">
        <f t="shared" si="18"/>
        <v>0</v>
      </c>
      <c r="S413" s="269">
        <f t="shared" si="19"/>
        <v>0</v>
      </c>
      <c r="T413" s="269">
        <f t="shared" si="20"/>
        <v>3970</v>
      </c>
    </row>
    <row r="414" spans="1:20" s="262" customFormat="1" ht="15.75">
      <c r="A414" s="568" t="s">
        <v>491</v>
      </c>
      <c r="B414" s="572">
        <f>B34+B101+B151</f>
        <v>40264</v>
      </c>
      <c r="C414" s="572">
        <f>C34+C101+C151</f>
        <v>12212</v>
      </c>
      <c r="D414" s="572">
        <f>D34+D101+D151</f>
        <v>1635</v>
      </c>
      <c r="E414" s="572">
        <f>E34+E101+E151</f>
        <v>9109</v>
      </c>
      <c r="F414" s="576">
        <f t="shared" si="12"/>
        <v>42833</v>
      </c>
      <c r="G414" s="576">
        <f>C414-'1.2. Диспансерное наблюдение'!P13+'1.2. Диспансерное наблюдение'!P13*2</f>
        <v>14782</v>
      </c>
      <c r="H414" s="576">
        <f t="shared" si="13"/>
        <v>1635</v>
      </c>
      <c r="I414" s="577">
        <f aca="true" t="shared" si="21" ref="I414:I419">ROUND(E414*2.9,0)</f>
        <v>26416</v>
      </c>
      <c r="K414" s="262">
        <f t="shared" si="17"/>
        <v>509</v>
      </c>
      <c r="L414" s="262">
        <v>350</v>
      </c>
      <c r="M414" s="262">
        <v>14</v>
      </c>
      <c r="N414" s="262">
        <v>50</v>
      </c>
      <c r="O414" s="585">
        <f t="shared" si="14"/>
        <v>414</v>
      </c>
      <c r="Q414" s="586">
        <f t="shared" si="15"/>
        <v>43342</v>
      </c>
      <c r="R414" s="269">
        <f t="shared" si="18"/>
        <v>15132</v>
      </c>
      <c r="S414" s="269">
        <f t="shared" si="19"/>
        <v>1649</v>
      </c>
      <c r="T414" s="269">
        <f t="shared" si="20"/>
        <v>26561</v>
      </c>
    </row>
    <row r="415" spans="1:20" s="262" customFormat="1" ht="15.75">
      <c r="A415" s="569" t="s">
        <v>492</v>
      </c>
      <c r="B415" s="571">
        <f>B46</f>
        <v>1221</v>
      </c>
      <c r="C415" s="571">
        <f>C46</f>
        <v>303</v>
      </c>
      <c r="D415" s="571">
        <f>D46</f>
        <v>2</v>
      </c>
      <c r="E415" s="571">
        <f>E46</f>
        <v>316</v>
      </c>
      <c r="F415" s="269">
        <f t="shared" si="12"/>
        <v>1221</v>
      </c>
      <c r="G415" s="269">
        <f>C415</f>
        <v>303</v>
      </c>
      <c r="H415" s="269">
        <f t="shared" si="13"/>
        <v>2</v>
      </c>
      <c r="I415" s="262">
        <f t="shared" si="21"/>
        <v>916</v>
      </c>
      <c r="K415" s="262">
        <f t="shared" si="17"/>
        <v>128</v>
      </c>
      <c r="L415" s="262">
        <v>7</v>
      </c>
      <c r="M415" s="262">
        <v>5</v>
      </c>
      <c r="N415" s="262">
        <v>40</v>
      </c>
      <c r="O415" s="585">
        <f t="shared" si="14"/>
        <v>52</v>
      </c>
      <c r="Q415" s="575">
        <f t="shared" si="15"/>
        <v>1349</v>
      </c>
      <c r="R415" s="269">
        <f t="shared" si="18"/>
        <v>310</v>
      </c>
      <c r="S415" s="269">
        <f t="shared" si="19"/>
        <v>7</v>
      </c>
      <c r="T415" s="269">
        <f t="shared" si="20"/>
        <v>1032</v>
      </c>
    </row>
    <row r="416" spans="1:20" s="262" customFormat="1" ht="15.75">
      <c r="A416" s="568" t="s">
        <v>493</v>
      </c>
      <c r="B416" s="572">
        <f>B19+B99</f>
        <v>929</v>
      </c>
      <c r="C416" s="572">
        <f>C19+C99</f>
        <v>430</v>
      </c>
      <c r="D416" s="572">
        <f>D19+D99</f>
        <v>0</v>
      </c>
      <c r="E416" s="572">
        <f>E19+E99</f>
        <v>172</v>
      </c>
      <c r="F416" s="269">
        <f t="shared" si="12"/>
        <v>929</v>
      </c>
      <c r="G416" s="269">
        <f>C416</f>
        <v>430</v>
      </c>
      <c r="H416" s="269">
        <f t="shared" si="13"/>
        <v>0</v>
      </c>
      <c r="I416" s="262">
        <f t="shared" si="21"/>
        <v>499</v>
      </c>
      <c r="K416" s="262">
        <f t="shared" si="17"/>
        <v>80</v>
      </c>
      <c r="L416" s="262">
        <v>15</v>
      </c>
      <c r="M416" s="262">
        <v>7</v>
      </c>
      <c r="N416" s="262">
        <v>20</v>
      </c>
      <c r="O416" s="585">
        <f t="shared" si="14"/>
        <v>42</v>
      </c>
      <c r="Q416" s="575">
        <f t="shared" si="15"/>
        <v>1009</v>
      </c>
      <c r="R416" s="269">
        <f t="shared" si="18"/>
        <v>445</v>
      </c>
      <c r="S416" s="269">
        <f t="shared" si="19"/>
        <v>7</v>
      </c>
      <c r="T416" s="269">
        <f t="shared" si="20"/>
        <v>557</v>
      </c>
    </row>
    <row r="417" spans="1:20" s="262" customFormat="1" ht="15.75">
      <c r="A417" s="568" t="s">
        <v>494</v>
      </c>
      <c r="B417" s="572">
        <f>B48+B70+B105</f>
        <v>28094</v>
      </c>
      <c r="C417" s="572">
        <f>C48+C70+C105</f>
        <v>7300</v>
      </c>
      <c r="D417" s="572">
        <f>D48+D70+D105</f>
        <v>237</v>
      </c>
      <c r="E417" s="572">
        <f>E48+E70+E105</f>
        <v>7088</v>
      </c>
      <c r="F417" s="576">
        <f t="shared" si="12"/>
        <v>31366</v>
      </c>
      <c r="G417" s="576">
        <f>C417-'1.2. Диспансерное наблюдение'!P14+'1.2. Диспансерное наблюдение'!P14*2</f>
        <v>10574</v>
      </c>
      <c r="H417" s="576">
        <f t="shared" si="13"/>
        <v>237</v>
      </c>
      <c r="I417" s="577">
        <f t="shared" si="21"/>
        <v>20555</v>
      </c>
      <c r="K417" s="262">
        <f t="shared" si="17"/>
        <v>906</v>
      </c>
      <c r="L417" s="262">
        <v>500</v>
      </c>
      <c r="N417" s="262">
        <v>140</v>
      </c>
      <c r="O417" s="585">
        <f t="shared" si="14"/>
        <v>640</v>
      </c>
      <c r="Q417" s="586">
        <f t="shared" si="15"/>
        <v>32272</v>
      </c>
      <c r="R417" s="269">
        <f t="shared" si="18"/>
        <v>11074</v>
      </c>
      <c r="S417" s="269">
        <f t="shared" si="19"/>
        <v>237</v>
      </c>
      <c r="T417" s="269">
        <f t="shared" si="20"/>
        <v>20961</v>
      </c>
    </row>
    <row r="418" spans="1:20" s="262" customFormat="1" ht="15.75">
      <c r="A418" s="568" t="s">
        <v>495</v>
      </c>
      <c r="B418" s="572">
        <f>B50+B109+B153+B372</f>
        <v>31978</v>
      </c>
      <c r="C418" s="572">
        <f>C50+C109+C153+C372</f>
        <v>9619</v>
      </c>
      <c r="D418" s="572">
        <f>D50+D109+D153+D372</f>
        <v>1393</v>
      </c>
      <c r="E418" s="572">
        <f>E50+E109+E153+E372</f>
        <v>7230</v>
      </c>
      <c r="F418" s="576">
        <f t="shared" si="12"/>
        <v>32542</v>
      </c>
      <c r="G418" s="576">
        <f>C418-'1.2. Диспансерное наблюдение'!P15+'1.2. Диспансерное наблюдение'!P15*2</f>
        <v>10182</v>
      </c>
      <c r="H418" s="576">
        <f t="shared" si="13"/>
        <v>1393</v>
      </c>
      <c r="I418" s="577">
        <f t="shared" si="21"/>
        <v>20967</v>
      </c>
      <c r="K418" s="262">
        <f t="shared" si="17"/>
        <v>602</v>
      </c>
      <c r="L418" s="262">
        <v>300</v>
      </c>
      <c r="M418" s="262">
        <v>50</v>
      </c>
      <c r="N418" s="262">
        <v>87</v>
      </c>
      <c r="O418" s="585">
        <f t="shared" si="14"/>
        <v>437</v>
      </c>
      <c r="Q418" s="586">
        <f t="shared" si="15"/>
        <v>33144</v>
      </c>
      <c r="R418" s="269">
        <f t="shared" si="18"/>
        <v>10482</v>
      </c>
      <c r="S418" s="269">
        <f t="shared" si="19"/>
        <v>1443</v>
      </c>
      <c r="T418" s="269">
        <f t="shared" si="20"/>
        <v>21219</v>
      </c>
    </row>
    <row r="419" spans="1:20" s="262" customFormat="1" ht="15.75">
      <c r="A419" s="568" t="s">
        <v>496</v>
      </c>
      <c r="B419" s="572">
        <f>B52+B110+B118+B155+B387</f>
        <v>36032</v>
      </c>
      <c r="C419" s="572">
        <f>C52+C110+C118+C155+C387</f>
        <v>11437</v>
      </c>
      <c r="D419" s="572">
        <f>D52+D110+D118+D155+D387</f>
        <v>1464</v>
      </c>
      <c r="E419" s="572">
        <f>E52+E110+E118+E155+E387</f>
        <v>7976</v>
      </c>
      <c r="F419" s="576">
        <f t="shared" si="12"/>
        <v>37298</v>
      </c>
      <c r="G419" s="576">
        <f>C419-'1.2. Диспансерное наблюдение'!P16+'1.2. Диспансерное наблюдение'!P16*2</f>
        <v>12704</v>
      </c>
      <c r="H419" s="576">
        <f t="shared" si="13"/>
        <v>1464</v>
      </c>
      <c r="I419" s="577">
        <f t="shared" si="21"/>
        <v>23130</v>
      </c>
      <c r="K419" s="262">
        <f t="shared" si="17"/>
        <v>741</v>
      </c>
      <c r="L419" s="262">
        <v>300</v>
      </c>
      <c r="M419" s="262">
        <v>70</v>
      </c>
      <c r="N419" s="262">
        <v>128</v>
      </c>
      <c r="O419" s="585">
        <f t="shared" si="14"/>
        <v>498</v>
      </c>
      <c r="Q419" s="586">
        <f t="shared" si="15"/>
        <v>38039</v>
      </c>
      <c r="R419" s="269">
        <f t="shared" si="18"/>
        <v>13004</v>
      </c>
      <c r="S419" s="269">
        <f t="shared" si="19"/>
        <v>1534</v>
      </c>
      <c r="T419" s="269">
        <f t="shared" si="20"/>
        <v>23501</v>
      </c>
    </row>
    <row r="420" spans="1:20" s="262" customFormat="1" ht="15.75">
      <c r="A420" s="568" t="s">
        <v>497</v>
      </c>
      <c r="B420" s="572">
        <f>B25+B94+B173</f>
        <v>189715</v>
      </c>
      <c r="C420" s="572">
        <f>C25+C94+C173</f>
        <v>71555</v>
      </c>
      <c r="D420" s="572">
        <f>D25+D94+D173</f>
        <v>18009</v>
      </c>
      <c r="E420" s="572">
        <f>E25+E94+E173</f>
        <v>34535</v>
      </c>
      <c r="F420" s="578">
        <f t="shared" si="12"/>
        <v>266611</v>
      </c>
      <c r="G420" s="578">
        <f>C420-'1.1. ПРОФ.МЕРОПРИЯТИЯ'!C22-'1.1. ПРОФ.МЕРОПРИЯТИЯ'!D22-'1.1. ПРОФ.МЕРОПРИЯТИЯ'!H22+'1.1. ПРОФ.МЕРОПРИЯТИЯ'!C25+'1.1. ПРОФ.МЕРОПРИЯТИЯ'!H25</f>
        <v>148450</v>
      </c>
      <c r="H420" s="578">
        <f t="shared" si="13"/>
        <v>18009</v>
      </c>
      <c r="I420" s="579">
        <f>ROUND(E420*2.9,0)</f>
        <v>100152</v>
      </c>
      <c r="K420" s="262">
        <f t="shared" si="17"/>
        <v>1696</v>
      </c>
      <c r="L420" s="262">
        <v>800</v>
      </c>
      <c r="M420" s="262">
        <v>200</v>
      </c>
      <c r="N420" s="262">
        <v>240</v>
      </c>
      <c r="O420" s="585">
        <f t="shared" si="14"/>
        <v>1240</v>
      </c>
      <c r="Q420" s="586">
        <f t="shared" si="15"/>
        <v>268307</v>
      </c>
      <c r="R420" s="269">
        <f t="shared" si="18"/>
        <v>149250</v>
      </c>
      <c r="S420" s="269">
        <f t="shared" si="19"/>
        <v>18209</v>
      </c>
      <c r="T420" s="269">
        <f t="shared" si="20"/>
        <v>100848</v>
      </c>
    </row>
    <row r="421" spans="1:20" s="262" customFormat="1" ht="15.75">
      <c r="A421" s="568" t="s">
        <v>498</v>
      </c>
      <c r="B421" s="572">
        <f>B24+B157</f>
        <v>1962</v>
      </c>
      <c r="C421" s="572">
        <f>C24+C157</f>
        <v>497</v>
      </c>
      <c r="D421" s="572">
        <f>D24+D157</f>
        <v>68</v>
      </c>
      <c r="E421" s="572">
        <f>E24+E157</f>
        <v>482</v>
      </c>
      <c r="F421" s="269">
        <f t="shared" si="12"/>
        <v>1963</v>
      </c>
      <c r="G421" s="269">
        <f>C421</f>
        <v>497</v>
      </c>
      <c r="H421" s="269">
        <f t="shared" si="13"/>
        <v>68</v>
      </c>
      <c r="I421" s="262">
        <f aca="true" t="shared" si="22" ref="I421:I431">ROUND(E421*2.9,0)</f>
        <v>1398</v>
      </c>
      <c r="K421" s="262">
        <f t="shared" si="17"/>
        <v>54</v>
      </c>
      <c r="L421" s="262">
        <v>8</v>
      </c>
      <c r="M421" s="262">
        <v>2</v>
      </c>
      <c r="N421" s="262">
        <v>15</v>
      </c>
      <c r="O421" s="585">
        <f t="shared" si="14"/>
        <v>25</v>
      </c>
      <c r="Q421" s="575">
        <f t="shared" si="15"/>
        <v>2017</v>
      </c>
      <c r="R421" s="269">
        <f t="shared" si="18"/>
        <v>505</v>
      </c>
      <c r="S421" s="269">
        <f t="shared" si="19"/>
        <v>70</v>
      </c>
      <c r="T421" s="269">
        <f>ROUND(N421*2.9,0)+I421</f>
        <v>1442</v>
      </c>
    </row>
    <row r="422" spans="1:20" s="262" customFormat="1" ht="15.75">
      <c r="A422" s="568" t="s">
        <v>499</v>
      </c>
      <c r="B422" s="572">
        <f>B18</f>
        <v>586</v>
      </c>
      <c r="C422" s="572">
        <f>C18</f>
        <v>395</v>
      </c>
      <c r="D422" s="572">
        <f>D18</f>
        <v>0</v>
      </c>
      <c r="E422" s="572">
        <f>E18</f>
        <v>66</v>
      </c>
      <c r="F422" s="269">
        <f t="shared" si="12"/>
        <v>586</v>
      </c>
      <c r="G422" s="269">
        <f>C422</f>
        <v>395</v>
      </c>
      <c r="H422" s="269">
        <f t="shared" si="13"/>
        <v>0</v>
      </c>
      <c r="I422" s="262">
        <f t="shared" si="22"/>
        <v>191</v>
      </c>
      <c r="K422" s="262">
        <f t="shared" si="17"/>
        <v>93</v>
      </c>
      <c r="L422" s="262">
        <v>0</v>
      </c>
      <c r="M422" s="262">
        <v>0</v>
      </c>
      <c r="N422" s="262">
        <v>32</v>
      </c>
      <c r="O422" s="585">
        <f t="shared" si="14"/>
        <v>32</v>
      </c>
      <c r="Q422" s="586">
        <f t="shared" si="15"/>
        <v>679</v>
      </c>
      <c r="R422" s="269">
        <f t="shared" si="18"/>
        <v>395</v>
      </c>
      <c r="S422" s="269">
        <f t="shared" si="19"/>
        <v>0</v>
      </c>
      <c r="T422" s="269">
        <f t="shared" si="20"/>
        <v>284</v>
      </c>
    </row>
    <row r="423" spans="1:20" s="262" customFormat="1" ht="15.75">
      <c r="A423" s="569" t="s">
        <v>500</v>
      </c>
      <c r="B423" s="572">
        <f>B33</f>
        <v>987</v>
      </c>
      <c r="C423" s="572">
        <f>C33</f>
        <v>245</v>
      </c>
      <c r="D423" s="572">
        <f>D33</f>
        <v>0</v>
      </c>
      <c r="E423" s="572">
        <f>E33</f>
        <v>256</v>
      </c>
      <c r="F423" s="269">
        <f t="shared" si="12"/>
        <v>987</v>
      </c>
      <c r="G423" s="269">
        <f>C423</f>
        <v>245</v>
      </c>
      <c r="H423" s="269">
        <f t="shared" si="13"/>
        <v>0</v>
      </c>
      <c r="I423" s="262">
        <f t="shared" si="22"/>
        <v>742</v>
      </c>
      <c r="K423" s="262">
        <f t="shared" si="17"/>
        <v>31</v>
      </c>
      <c r="L423" s="262">
        <v>8</v>
      </c>
      <c r="M423" s="262">
        <v>0</v>
      </c>
      <c r="N423" s="262">
        <v>8</v>
      </c>
      <c r="O423" s="585">
        <f t="shared" si="14"/>
        <v>16</v>
      </c>
      <c r="Q423" s="575">
        <f t="shared" si="15"/>
        <v>1018</v>
      </c>
      <c r="R423" s="269">
        <f t="shared" si="18"/>
        <v>253</v>
      </c>
      <c r="S423" s="269">
        <f t="shared" si="19"/>
        <v>0</v>
      </c>
      <c r="T423" s="269">
        <f t="shared" si="20"/>
        <v>765</v>
      </c>
    </row>
    <row r="424" spans="1:20" s="262" customFormat="1" ht="15.75">
      <c r="A424" s="568" t="s">
        <v>35</v>
      </c>
      <c r="B424" s="572">
        <f>B57+B169+B354+B357+B361+B365+B373+B381+B377</f>
        <v>253691</v>
      </c>
      <c r="C424" s="572">
        <f>C57+C169+C354+C357+C361+C365+C373+C381+C377</f>
        <v>64968</v>
      </c>
      <c r="D424" s="572">
        <f>D57+D169+D354+D357+D361+D365+D373+D381+D377</f>
        <v>14657</v>
      </c>
      <c r="E424" s="572">
        <f>E57+E169+E354+E357+E361+E365+E373+E381+E377</f>
        <v>60023</v>
      </c>
      <c r="F424" s="269">
        <f t="shared" si="12"/>
        <v>253692</v>
      </c>
      <c r="G424" s="269">
        <f>C424</f>
        <v>64968</v>
      </c>
      <c r="H424" s="269">
        <f t="shared" si="13"/>
        <v>14657</v>
      </c>
      <c r="I424" s="262">
        <f t="shared" si="22"/>
        <v>174067</v>
      </c>
      <c r="K424" s="262">
        <f t="shared" si="17"/>
        <v>956</v>
      </c>
      <c r="L424" s="262">
        <v>218</v>
      </c>
      <c r="M424" s="262">
        <v>500</v>
      </c>
      <c r="N424" s="262">
        <v>82</v>
      </c>
      <c r="O424" s="585">
        <f t="shared" si="14"/>
        <v>800</v>
      </c>
      <c r="Q424" s="586">
        <f t="shared" si="15"/>
        <v>254648</v>
      </c>
      <c r="R424" s="269">
        <f t="shared" si="18"/>
        <v>65186</v>
      </c>
      <c r="S424" s="269">
        <f t="shared" si="19"/>
        <v>15157</v>
      </c>
      <c r="T424" s="269">
        <f t="shared" si="20"/>
        <v>174305</v>
      </c>
    </row>
    <row r="425" spans="1:20" s="262" customFormat="1" ht="15.75">
      <c r="A425" s="568" t="s">
        <v>509</v>
      </c>
      <c r="B425" s="572">
        <f>B58+B59+B111+B119+B158</f>
        <v>56196</v>
      </c>
      <c r="C425" s="572">
        <f>C58+C59+C111+C119+C158</f>
        <v>37531</v>
      </c>
      <c r="D425" s="572">
        <f>D58+D59+D111+D119+D158</f>
        <v>1959</v>
      </c>
      <c r="E425" s="572">
        <f>E58+E59+E111+E119+E158</f>
        <v>5761</v>
      </c>
      <c r="F425" s="269">
        <f t="shared" si="12"/>
        <v>56197</v>
      </c>
      <c r="G425" s="269">
        <f>C425</f>
        <v>37531</v>
      </c>
      <c r="H425" s="269">
        <f t="shared" si="13"/>
        <v>1959</v>
      </c>
      <c r="I425" s="262">
        <f t="shared" si="22"/>
        <v>16707</v>
      </c>
      <c r="K425" s="262">
        <f t="shared" si="17"/>
        <v>0</v>
      </c>
      <c r="O425" s="585">
        <f t="shared" si="14"/>
        <v>0</v>
      </c>
      <c r="Q425" s="575">
        <f t="shared" si="15"/>
        <v>56197</v>
      </c>
      <c r="R425" s="269">
        <f t="shared" si="18"/>
        <v>37531</v>
      </c>
      <c r="S425" s="269">
        <f t="shared" si="19"/>
        <v>1959</v>
      </c>
      <c r="T425" s="269">
        <f t="shared" si="20"/>
        <v>16707</v>
      </c>
    </row>
    <row r="426" spans="1:20" s="262" customFormat="1" ht="15.75">
      <c r="A426" s="568" t="s">
        <v>501</v>
      </c>
      <c r="B426" s="572">
        <f>B40+B73+B117+B138+B174</f>
        <v>223980</v>
      </c>
      <c r="C426" s="572">
        <f>C40+C73+C117+C138+C174</f>
        <v>82740</v>
      </c>
      <c r="D426" s="572">
        <f>D40+D73+D117+D138+D174</f>
        <v>13748</v>
      </c>
      <c r="E426" s="572">
        <f>E40+E73+E117+E138+E174</f>
        <v>43963</v>
      </c>
      <c r="F426" s="578">
        <f t="shared" si="12"/>
        <v>271470</v>
      </c>
      <c r="G426" s="578">
        <f>C426-'1.2. Диспансерное наблюдение'!P17+'1.2. Диспансерное наблюдение'!P17*2-'1.1. ПРОФ.МЕРОПРИЯТИЯ'!E22-'1.1. ПРОФ.МЕРОПРИЯТИЯ'!I22+'1.1. ПРОФ.МЕРОПРИЯТИЯ'!E25+'1.1. ПРОФ.МЕРОПРИЯТИЯ'!I25-3</f>
        <v>130229</v>
      </c>
      <c r="H426" s="578">
        <f t="shared" si="13"/>
        <v>13748</v>
      </c>
      <c r="I426" s="579">
        <f t="shared" si="22"/>
        <v>127493</v>
      </c>
      <c r="K426" s="262">
        <f t="shared" si="17"/>
        <v>4983</v>
      </c>
      <c r="L426" s="262">
        <v>2011</v>
      </c>
      <c r="M426" s="262">
        <v>400</v>
      </c>
      <c r="N426" s="262">
        <v>887</v>
      </c>
      <c r="O426" s="585">
        <f>SUM(L426:N426)</f>
        <v>3298</v>
      </c>
      <c r="Q426" s="586">
        <f t="shared" si="15"/>
        <v>276453</v>
      </c>
      <c r="R426" s="269">
        <f t="shared" si="18"/>
        <v>132240</v>
      </c>
      <c r="S426" s="269">
        <f t="shared" si="19"/>
        <v>14148</v>
      </c>
      <c r="T426" s="269">
        <f t="shared" si="20"/>
        <v>130065</v>
      </c>
    </row>
    <row r="427" spans="1:20" s="262" customFormat="1" ht="15.75">
      <c r="A427" s="568" t="s">
        <v>502</v>
      </c>
      <c r="B427" s="572">
        <f>B38+B102+B159</f>
        <v>40473</v>
      </c>
      <c r="C427" s="572">
        <f>C38+C102+C159</f>
        <v>11867</v>
      </c>
      <c r="D427" s="572">
        <f>D38+D102+D159</f>
        <v>3517</v>
      </c>
      <c r="E427" s="572">
        <f>E38+E102+E159</f>
        <v>8651</v>
      </c>
      <c r="F427" s="576">
        <f t="shared" si="12"/>
        <v>40648</v>
      </c>
      <c r="G427" s="576">
        <f>C427-'1.2. Диспансерное наблюдение'!P18+'1.2. Диспансерное наблюдение'!P18*2</f>
        <v>12043</v>
      </c>
      <c r="H427" s="576">
        <f t="shared" si="13"/>
        <v>3517</v>
      </c>
      <c r="I427" s="577">
        <f>ROUND(E427*2.9,0)</f>
        <v>25088</v>
      </c>
      <c r="K427" s="262">
        <f t="shared" si="17"/>
        <v>1427</v>
      </c>
      <c r="L427" s="262">
        <v>357</v>
      </c>
      <c r="M427" s="262">
        <v>200</v>
      </c>
      <c r="N427" s="262">
        <v>300</v>
      </c>
      <c r="O427" s="585">
        <f t="shared" si="14"/>
        <v>857</v>
      </c>
      <c r="Q427" s="575">
        <f t="shared" si="15"/>
        <v>42075</v>
      </c>
      <c r="R427" s="269">
        <f t="shared" si="18"/>
        <v>12400</v>
      </c>
      <c r="S427" s="269">
        <f t="shared" si="19"/>
        <v>3717</v>
      </c>
      <c r="T427" s="269">
        <f t="shared" si="20"/>
        <v>25958</v>
      </c>
    </row>
    <row r="428" spans="1:20" s="262" customFormat="1" ht="15.75">
      <c r="A428" s="568" t="s">
        <v>503</v>
      </c>
      <c r="B428" s="572">
        <f>B47+B104+B161+B369+B368</f>
        <v>13891</v>
      </c>
      <c r="C428" s="572">
        <f>C47+C104+C161+C369+C368</f>
        <v>4076</v>
      </c>
      <c r="D428" s="572">
        <f>D47+D104+D161+D369+D368</f>
        <v>706</v>
      </c>
      <c r="E428" s="572">
        <f>E47+E104+E161+E369+E368</f>
        <v>3141</v>
      </c>
      <c r="F428" s="576">
        <f t="shared" si="12"/>
        <v>14137</v>
      </c>
      <c r="G428" s="576">
        <f>C428-'1.2. Диспансерное наблюдение'!P19+'1.2. Диспансерное наблюдение'!P19*2</f>
        <v>4322</v>
      </c>
      <c r="H428" s="576">
        <f t="shared" si="13"/>
        <v>706</v>
      </c>
      <c r="I428" s="577">
        <f t="shared" si="22"/>
        <v>9109</v>
      </c>
      <c r="K428" s="262">
        <f t="shared" si="17"/>
        <v>245</v>
      </c>
      <c r="L428" s="262">
        <v>50</v>
      </c>
      <c r="M428" s="262">
        <v>50</v>
      </c>
      <c r="N428" s="262">
        <v>50</v>
      </c>
      <c r="O428" s="585">
        <f t="shared" si="14"/>
        <v>150</v>
      </c>
      <c r="Q428" s="586">
        <f t="shared" si="15"/>
        <v>14382</v>
      </c>
      <c r="R428" s="269">
        <f t="shared" si="18"/>
        <v>4372</v>
      </c>
      <c r="S428" s="269">
        <f t="shared" si="19"/>
        <v>756</v>
      </c>
      <c r="T428" s="269">
        <f t="shared" si="20"/>
        <v>9254</v>
      </c>
    </row>
    <row r="429" spans="1:20" s="262" customFormat="1" ht="15.75">
      <c r="A429" s="568" t="s">
        <v>504</v>
      </c>
      <c r="B429" s="572">
        <f>B36+B103+B163+B370</f>
        <v>50472</v>
      </c>
      <c r="C429" s="572">
        <f>C36+C103+C163+C370</f>
        <v>14392</v>
      </c>
      <c r="D429" s="572">
        <f>D36+D103+D163+D370</f>
        <v>6149</v>
      </c>
      <c r="E429" s="572">
        <f>E36+E103+E163+E370</f>
        <v>10321</v>
      </c>
      <c r="F429" s="576">
        <f t="shared" si="12"/>
        <v>51458</v>
      </c>
      <c r="G429" s="576">
        <f>C429-'1.2. Диспансерное наблюдение'!P20+'1.2. Диспансерное наблюдение'!P20*2</f>
        <v>15378</v>
      </c>
      <c r="H429" s="576">
        <f t="shared" si="13"/>
        <v>6149</v>
      </c>
      <c r="I429" s="577">
        <f t="shared" si="22"/>
        <v>29931</v>
      </c>
      <c r="K429" s="262">
        <f t="shared" si="17"/>
        <v>5385</v>
      </c>
      <c r="L429" s="262">
        <v>2420</v>
      </c>
      <c r="M429" s="262">
        <v>512</v>
      </c>
      <c r="N429" s="262">
        <v>846</v>
      </c>
      <c r="O429" s="585">
        <f t="shared" si="14"/>
        <v>3778</v>
      </c>
      <c r="Q429" s="586">
        <f t="shared" si="15"/>
        <v>56843</v>
      </c>
      <c r="R429" s="269">
        <f t="shared" si="18"/>
        <v>17798</v>
      </c>
      <c r="S429" s="269">
        <f t="shared" si="19"/>
        <v>6661</v>
      </c>
      <c r="T429" s="269">
        <f t="shared" si="20"/>
        <v>32384</v>
      </c>
    </row>
    <row r="430" spans="1:20" s="262" customFormat="1" ht="15.75">
      <c r="A430" s="569" t="s">
        <v>505</v>
      </c>
      <c r="B430" s="572">
        <f>B167</f>
        <v>833</v>
      </c>
      <c r="C430" s="572">
        <f>C167</f>
        <v>215</v>
      </c>
      <c r="D430" s="572">
        <f>D167</f>
        <v>58</v>
      </c>
      <c r="E430" s="572">
        <f>E167</f>
        <v>193</v>
      </c>
      <c r="F430" s="269">
        <f t="shared" si="12"/>
        <v>833</v>
      </c>
      <c r="G430" s="269">
        <f>C430</f>
        <v>215</v>
      </c>
      <c r="H430" s="269">
        <f t="shared" si="13"/>
        <v>58</v>
      </c>
      <c r="I430" s="262">
        <f t="shared" si="22"/>
        <v>560</v>
      </c>
      <c r="K430" s="262">
        <f t="shared" si="17"/>
        <v>39</v>
      </c>
      <c r="L430" s="262">
        <v>10</v>
      </c>
      <c r="M430" s="262">
        <v>0</v>
      </c>
      <c r="N430" s="262">
        <v>10</v>
      </c>
      <c r="O430" s="585">
        <f t="shared" si="14"/>
        <v>20</v>
      </c>
      <c r="Q430" s="575">
        <f t="shared" si="15"/>
        <v>872</v>
      </c>
      <c r="R430" s="269">
        <f t="shared" si="18"/>
        <v>225</v>
      </c>
      <c r="S430" s="269">
        <f t="shared" si="19"/>
        <v>58</v>
      </c>
      <c r="T430" s="269">
        <f t="shared" si="20"/>
        <v>589</v>
      </c>
    </row>
    <row r="431" spans="1:20" s="262" customFormat="1" ht="15.75">
      <c r="A431" s="568" t="s">
        <v>506</v>
      </c>
      <c r="B431" s="572">
        <f>B31+B106+B165</f>
        <v>19402</v>
      </c>
      <c r="C431" s="572">
        <f>C31+C106+C165</f>
        <v>5783</v>
      </c>
      <c r="D431" s="572">
        <f>D31+D106+D165</f>
        <v>783</v>
      </c>
      <c r="E431" s="572">
        <f>E31+E106+E165</f>
        <v>4426</v>
      </c>
      <c r="F431" s="576">
        <f t="shared" si="12"/>
        <v>20740</v>
      </c>
      <c r="G431" s="576">
        <f>C431-'1.2. Диспансерное наблюдение'!P21+'1.2. Диспансерное наблюдение'!P21*2</f>
        <v>7122</v>
      </c>
      <c r="H431" s="576">
        <f t="shared" si="13"/>
        <v>783</v>
      </c>
      <c r="I431" s="577">
        <f t="shared" si="22"/>
        <v>12835</v>
      </c>
      <c r="K431" s="262">
        <f t="shared" si="17"/>
        <v>362</v>
      </c>
      <c r="L431" s="262">
        <v>52</v>
      </c>
      <c r="M431" s="262">
        <v>20</v>
      </c>
      <c r="N431" s="262">
        <v>100</v>
      </c>
      <c r="O431" s="585">
        <f t="shared" si="14"/>
        <v>172</v>
      </c>
      <c r="Q431" s="586">
        <f t="shared" si="15"/>
        <v>21102</v>
      </c>
      <c r="R431" s="269">
        <f t="shared" si="18"/>
        <v>7174</v>
      </c>
      <c r="S431" s="269">
        <f t="shared" si="19"/>
        <v>803</v>
      </c>
      <c r="T431" s="269">
        <f t="shared" si="20"/>
        <v>13125</v>
      </c>
    </row>
    <row r="432" spans="1:20" s="262" customFormat="1" ht="15.75">
      <c r="A432" s="573" t="s">
        <v>32</v>
      </c>
      <c r="B432" s="574">
        <f aca="true" t="shared" si="23" ref="B432:I432">SUM(B403:B431)</f>
        <v>1152478</v>
      </c>
      <c r="C432" s="574">
        <f t="shared" si="23"/>
        <v>394096</v>
      </c>
      <c r="D432" s="574">
        <f t="shared" si="23"/>
        <v>70516</v>
      </c>
      <c r="E432" s="574">
        <f t="shared" si="23"/>
        <v>237195</v>
      </c>
      <c r="F432" s="575">
        <f t="shared" si="23"/>
        <v>1294466</v>
      </c>
      <c r="G432" s="575">
        <f t="shared" si="23"/>
        <v>533266</v>
      </c>
      <c r="H432" s="575">
        <f t="shared" si="23"/>
        <v>70516</v>
      </c>
      <c r="I432" s="575">
        <f t="shared" si="23"/>
        <v>690684</v>
      </c>
      <c r="K432" s="352">
        <f>SUM(K403:K431)</f>
        <v>21028</v>
      </c>
      <c r="L432" s="352">
        <f>SUM(L403:L431)</f>
        <v>8331</v>
      </c>
      <c r="M432" s="352">
        <f>SUM(M403:M431)</f>
        <v>2115</v>
      </c>
      <c r="N432" s="352">
        <f>SUM(N403:N431)</f>
        <v>3649</v>
      </c>
      <c r="O432" s="585"/>
      <c r="Q432" s="575">
        <f>SUM(Q403:Q431)</f>
        <v>1315494</v>
      </c>
      <c r="R432" s="575">
        <f>SUM(R403:R431)</f>
        <v>541597</v>
      </c>
      <c r="S432" s="575">
        <f>SUM(S403:S431)</f>
        <v>72631</v>
      </c>
      <c r="T432" s="575">
        <f>SUM(T403:T431)</f>
        <v>701266</v>
      </c>
    </row>
    <row r="433" spans="2:20" s="262" customFormat="1" ht="15">
      <c r="B433" s="269">
        <f>B432-(B390-B389)</f>
        <v>0</v>
      </c>
      <c r="C433" s="269">
        <f>C432-(C390-C389)</f>
        <v>0</v>
      </c>
      <c r="D433" s="269">
        <f>D432-(D390-D389)</f>
        <v>0</v>
      </c>
      <c r="E433" s="269">
        <f>E432-(E390-E389)</f>
        <v>0</v>
      </c>
      <c r="F433" s="269"/>
      <c r="I433" s="269">
        <f>ROUND((E390-E389-397)*2.9+397*10,0)</f>
        <v>690684</v>
      </c>
      <c r="K433" s="584">
        <v>21028.1</v>
      </c>
      <c r="L433" s="584">
        <v>8331</v>
      </c>
      <c r="M433" s="584">
        <v>2115</v>
      </c>
      <c r="N433" s="584">
        <v>3649</v>
      </c>
      <c r="Q433" s="575">
        <v>1315593</v>
      </c>
      <c r="R433" s="262">
        <f>C390-C391-C398+C398*2+'1.1. ПРОФ.МЕРОПРИЯТИЯ'!B25+'1.1. ПРОФ.МЕРОПРИЯТИЯ'!G25</f>
        <v>541597</v>
      </c>
      <c r="S433" s="269">
        <f>S432-D390</f>
        <v>0</v>
      </c>
      <c r="T433" s="575">
        <f>(E390-397)*2.9+3970</f>
        <v>701266.2999999999</v>
      </c>
    </row>
    <row r="434" spans="2:20" s="262" customFormat="1" ht="15">
      <c r="B434" s="269">
        <f>SUM(C434:E434)</f>
        <v>1035825.2</v>
      </c>
      <c r="C434" s="352">
        <f>C432-C413-'1.2. Диспансерное наблюдение'!P22-'1.1. ПРОФ.МЕРОПРИЯТИЯ'!B22-'1.1. ПРОФ.МЕРОПРИЯТИЯ'!G22</f>
        <v>278595</v>
      </c>
      <c r="D434" s="352">
        <f>D432-D413-'1.2. Диспансерное наблюдение'!Q22</f>
        <v>70516</v>
      </c>
      <c r="E434" s="352">
        <f>(E432-E413-'1.2. Диспансерное наблюдение'!R22)*2.9</f>
        <v>686714.2</v>
      </c>
      <c r="I434" s="269">
        <f>I433-I432</f>
        <v>0</v>
      </c>
      <c r="K434" s="269">
        <f>K433-K432</f>
        <v>0.09999999999854481</v>
      </c>
      <c r="L434" s="269">
        <f>L433-L432</f>
        <v>0</v>
      </c>
      <c r="M434" s="269">
        <f>M433-M432</f>
        <v>0</v>
      </c>
      <c r="N434" s="269">
        <f>N433-N432</f>
        <v>0</v>
      </c>
      <c r="Q434" s="269">
        <f>Q433-Q432</f>
        <v>99</v>
      </c>
      <c r="R434" s="269">
        <f>R433-R432</f>
        <v>0</v>
      </c>
      <c r="S434" s="269"/>
      <c r="T434" s="269">
        <f>T433-T432</f>
        <v>0.2999999999301508</v>
      </c>
    </row>
    <row r="435" spans="2:5" s="262" customFormat="1" ht="15">
      <c r="B435" s="269">
        <f>SUM(C435:E435)</f>
        <v>14095</v>
      </c>
      <c r="C435" s="352">
        <v>8331</v>
      </c>
      <c r="D435" s="352">
        <v>2115</v>
      </c>
      <c r="E435" s="352">
        <v>3649</v>
      </c>
    </row>
    <row r="436" spans="2:5" s="262" customFormat="1" ht="15">
      <c r="B436" s="269">
        <f>SUM(C436:E436)</f>
        <v>188233</v>
      </c>
      <c r="C436" s="582">
        <f>'1.1. ПРОФ.МЕРОПРИЯТИЯ'!B25+'1.1. ПРОФ.МЕРОПРИЯТИЯ'!G25</f>
        <v>184263</v>
      </c>
      <c r="D436" s="353"/>
      <c r="E436" s="352">
        <f>E413*10</f>
        <v>3970</v>
      </c>
    </row>
    <row r="437" spans="1:5" s="262" customFormat="1" ht="15">
      <c r="A437" s="262" t="s">
        <v>510</v>
      </c>
      <c r="B437" s="575">
        <f>SUM(B434:B436)</f>
        <v>1238153.2</v>
      </c>
      <c r="C437" s="353"/>
      <c r="D437" s="353"/>
      <c r="E437" s="352"/>
    </row>
    <row r="438" spans="3:5" s="262" customFormat="1" ht="15">
      <c r="C438" s="353"/>
      <c r="D438" s="353"/>
      <c r="E438" s="352"/>
    </row>
    <row r="439" spans="3:5" s="262" customFormat="1" ht="15">
      <c r="C439" s="353"/>
      <c r="D439" s="353"/>
      <c r="E439" s="352"/>
    </row>
    <row r="440" spans="3:5" s="262" customFormat="1" ht="15">
      <c r="C440" s="353"/>
      <c r="D440" s="353"/>
      <c r="E440" s="352"/>
    </row>
    <row r="441" spans="3:5" s="262" customFormat="1" ht="15">
      <c r="C441" s="353"/>
      <c r="D441" s="353"/>
      <c r="E441" s="352"/>
    </row>
    <row r="442" spans="3:5" s="262" customFormat="1" ht="15">
      <c r="C442" s="353"/>
      <c r="D442" s="353"/>
      <c r="E442" s="352"/>
    </row>
    <row r="443" spans="3:5" s="262" customFormat="1" ht="15">
      <c r="C443" s="353"/>
      <c r="D443" s="353"/>
      <c r="E443" s="352"/>
    </row>
    <row r="444" spans="3:5" s="262" customFormat="1" ht="15">
      <c r="C444" s="353"/>
      <c r="D444" s="353"/>
      <c r="E444" s="352"/>
    </row>
    <row r="445" spans="3:5" s="262" customFormat="1" ht="15">
      <c r="C445" s="353"/>
      <c r="D445" s="353"/>
      <c r="E445" s="352"/>
    </row>
    <row r="446" spans="3:5" s="262" customFormat="1" ht="15">
      <c r="C446" s="353"/>
      <c r="D446" s="353"/>
      <c r="E446" s="352"/>
    </row>
    <row r="447" spans="3:5" s="262" customFormat="1" ht="15">
      <c r="C447" s="353"/>
      <c r="D447" s="353"/>
      <c r="E447" s="352"/>
    </row>
    <row r="448" spans="3:5" s="262" customFormat="1" ht="15">
      <c r="C448" s="353"/>
      <c r="D448" s="353"/>
      <c r="E448" s="352"/>
    </row>
    <row r="449" spans="3:5" s="262" customFormat="1" ht="15">
      <c r="C449" s="353"/>
      <c r="D449" s="353"/>
      <c r="E449" s="352"/>
    </row>
    <row r="450" spans="3:5" s="262" customFormat="1" ht="15">
      <c r="C450" s="353"/>
      <c r="D450" s="353"/>
      <c r="E450" s="352"/>
    </row>
    <row r="451" spans="3:5" s="262" customFormat="1" ht="15">
      <c r="C451" s="353"/>
      <c r="D451" s="353"/>
      <c r="E451" s="352"/>
    </row>
    <row r="452" spans="3:5" s="262" customFormat="1" ht="15">
      <c r="C452" s="353"/>
      <c r="D452" s="353"/>
      <c r="E452" s="352"/>
    </row>
    <row r="453" spans="3:5" s="262" customFormat="1" ht="15">
      <c r="C453" s="353"/>
      <c r="D453" s="353"/>
      <c r="E453" s="352"/>
    </row>
    <row r="454" spans="3:5" s="262" customFormat="1" ht="15">
      <c r="C454" s="353"/>
      <c r="D454" s="353"/>
      <c r="E454" s="352"/>
    </row>
    <row r="455" spans="3:5" s="262" customFormat="1" ht="15">
      <c r="C455" s="353"/>
      <c r="D455" s="353"/>
      <c r="E455" s="352"/>
    </row>
    <row r="456" spans="3:5" s="262" customFormat="1" ht="15">
      <c r="C456" s="353"/>
      <c r="D456" s="353"/>
      <c r="E456" s="352"/>
    </row>
    <row r="457" spans="3:5" s="262" customFormat="1" ht="15">
      <c r="C457" s="353"/>
      <c r="D457" s="353"/>
      <c r="E457" s="352"/>
    </row>
    <row r="458" spans="3:5" s="262" customFormat="1" ht="15">
      <c r="C458" s="353"/>
      <c r="D458" s="353"/>
      <c r="E458" s="352"/>
    </row>
    <row r="459" spans="3:5" s="262" customFormat="1" ht="15">
      <c r="C459" s="353"/>
      <c r="D459" s="353"/>
      <c r="E459" s="352"/>
    </row>
    <row r="460" spans="3:5" s="262" customFormat="1" ht="15">
      <c r="C460" s="353"/>
      <c r="D460" s="353"/>
      <c r="E460" s="352"/>
    </row>
    <row r="461" spans="3:5" s="262" customFormat="1" ht="15">
      <c r="C461" s="353"/>
      <c r="D461" s="353"/>
      <c r="E461" s="352"/>
    </row>
    <row r="462" spans="3:5" s="262" customFormat="1" ht="15">
      <c r="C462" s="353"/>
      <c r="D462" s="353"/>
      <c r="E462" s="352"/>
    </row>
    <row r="463" spans="3:5" s="262" customFormat="1" ht="15">
      <c r="C463" s="353"/>
      <c r="D463" s="353"/>
      <c r="E463" s="352"/>
    </row>
    <row r="464" spans="3:5" s="262" customFormat="1" ht="15">
      <c r="C464" s="353"/>
      <c r="D464" s="353"/>
      <c r="E464" s="352"/>
    </row>
    <row r="465" spans="3:5" s="262" customFormat="1" ht="15">
      <c r="C465" s="353"/>
      <c r="D465" s="353"/>
      <c r="E465" s="352"/>
    </row>
    <row r="466" spans="3:5" s="262" customFormat="1" ht="15">
      <c r="C466" s="353"/>
      <c r="D466" s="353"/>
      <c r="E466" s="352"/>
    </row>
    <row r="467" spans="3:5" s="262" customFormat="1" ht="15">
      <c r="C467" s="353"/>
      <c r="D467" s="353"/>
      <c r="E467" s="352"/>
    </row>
    <row r="468" spans="3:5" s="262" customFormat="1" ht="15">
      <c r="C468" s="353"/>
      <c r="D468" s="353"/>
      <c r="E468" s="352"/>
    </row>
    <row r="469" spans="3:5" s="262" customFormat="1" ht="15">
      <c r="C469" s="353"/>
      <c r="D469" s="353"/>
      <c r="E469" s="352"/>
    </row>
    <row r="470" spans="3:5" s="262" customFormat="1" ht="15">
      <c r="C470" s="353"/>
      <c r="D470" s="353"/>
      <c r="E470" s="352"/>
    </row>
    <row r="471" spans="3:5" s="262" customFormat="1" ht="15">
      <c r="C471" s="353"/>
      <c r="D471" s="353"/>
      <c r="E471" s="352"/>
    </row>
    <row r="472" spans="3:5" s="262" customFormat="1" ht="15">
      <c r="C472" s="353"/>
      <c r="D472" s="353"/>
      <c r="E472" s="352"/>
    </row>
    <row r="473" spans="3:5" s="262" customFormat="1" ht="15">
      <c r="C473" s="353"/>
      <c r="D473" s="353"/>
      <c r="E473" s="352"/>
    </row>
    <row r="474" spans="3:5" s="262" customFormat="1" ht="15">
      <c r="C474" s="353"/>
      <c r="D474" s="353"/>
      <c r="E474" s="352"/>
    </row>
    <row r="475" spans="3:5" s="262" customFormat="1" ht="15">
      <c r="C475" s="353"/>
      <c r="D475" s="353"/>
      <c r="E475" s="352"/>
    </row>
    <row r="476" spans="3:5" s="262" customFormat="1" ht="15">
      <c r="C476" s="353"/>
      <c r="D476" s="353"/>
      <c r="E476" s="352"/>
    </row>
    <row r="477" spans="3:5" s="262" customFormat="1" ht="15">
      <c r="C477" s="353"/>
      <c r="D477" s="353"/>
      <c r="E477" s="352"/>
    </row>
    <row r="478" spans="3:5" s="262" customFormat="1" ht="15">
      <c r="C478" s="353"/>
      <c r="D478" s="353"/>
      <c r="E478" s="352"/>
    </row>
    <row r="479" spans="3:5" s="262" customFormat="1" ht="15">
      <c r="C479" s="353"/>
      <c r="D479" s="353"/>
      <c r="E479" s="352"/>
    </row>
    <row r="480" spans="3:5" s="262" customFormat="1" ht="15">
      <c r="C480" s="353"/>
      <c r="D480" s="353"/>
      <c r="E480" s="352"/>
    </row>
    <row r="481" spans="3:5" s="262" customFormat="1" ht="15">
      <c r="C481" s="353"/>
      <c r="D481" s="353"/>
      <c r="E481" s="352"/>
    </row>
    <row r="482" spans="3:5" s="262" customFormat="1" ht="15">
      <c r="C482" s="353"/>
      <c r="D482" s="353"/>
      <c r="E482" s="352"/>
    </row>
    <row r="483" spans="3:5" s="262" customFormat="1" ht="15">
      <c r="C483" s="353"/>
      <c r="D483" s="353"/>
      <c r="E483" s="352"/>
    </row>
    <row r="484" spans="3:5" s="262" customFormat="1" ht="15">
      <c r="C484" s="353"/>
      <c r="D484" s="353"/>
      <c r="E484" s="352"/>
    </row>
    <row r="485" spans="3:5" s="262" customFormat="1" ht="15">
      <c r="C485" s="353"/>
      <c r="D485" s="353"/>
      <c r="E485" s="352"/>
    </row>
    <row r="486" spans="3:5" s="262" customFormat="1" ht="15">
      <c r="C486" s="353"/>
      <c r="D486" s="353"/>
      <c r="E486" s="352"/>
    </row>
    <row r="487" spans="3:5" s="262" customFormat="1" ht="15">
      <c r="C487" s="353"/>
      <c r="D487" s="353"/>
      <c r="E487" s="352"/>
    </row>
    <row r="488" spans="3:5" s="262" customFormat="1" ht="15">
      <c r="C488" s="353"/>
      <c r="D488" s="353"/>
      <c r="E488" s="352"/>
    </row>
    <row r="489" spans="3:5" s="262" customFormat="1" ht="15">
      <c r="C489" s="353"/>
      <c r="D489" s="353"/>
      <c r="E489" s="352"/>
    </row>
    <row r="490" spans="3:5" s="262" customFormat="1" ht="15">
      <c r="C490" s="353"/>
      <c r="D490" s="353"/>
      <c r="E490" s="352"/>
    </row>
    <row r="491" spans="3:5" s="262" customFormat="1" ht="15">
      <c r="C491" s="353"/>
      <c r="D491" s="353"/>
      <c r="E491" s="352"/>
    </row>
    <row r="492" spans="3:5" s="262" customFormat="1" ht="15">
      <c r="C492" s="353"/>
      <c r="D492" s="353"/>
      <c r="E492" s="352"/>
    </row>
    <row r="493" spans="3:5" s="262" customFormat="1" ht="15">
      <c r="C493" s="353"/>
      <c r="D493" s="353"/>
      <c r="E493" s="352"/>
    </row>
    <row r="494" spans="3:5" s="262" customFormat="1" ht="15">
      <c r="C494" s="353"/>
      <c r="D494" s="353"/>
      <c r="E494" s="352"/>
    </row>
    <row r="495" spans="3:5" s="262" customFormat="1" ht="15">
      <c r="C495" s="353"/>
      <c r="D495" s="353"/>
      <c r="E495" s="352"/>
    </row>
    <row r="496" spans="3:5" s="262" customFormat="1" ht="15">
      <c r="C496" s="353"/>
      <c r="D496" s="353"/>
      <c r="E496" s="352"/>
    </row>
    <row r="497" spans="3:5" s="262" customFormat="1" ht="15">
      <c r="C497" s="353"/>
      <c r="D497" s="353"/>
      <c r="E497" s="352"/>
    </row>
    <row r="498" spans="3:5" s="262" customFormat="1" ht="15">
      <c r="C498" s="353"/>
      <c r="D498" s="353"/>
      <c r="E498" s="352"/>
    </row>
    <row r="499" spans="3:5" s="262" customFormat="1" ht="15">
      <c r="C499" s="353"/>
      <c r="D499" s="353"/>
      <c r="E499" s="352"/>
    </row>
    <row r="500" spans="3:5" s="262" customFormat="1" ht="15">
      <c r="C500" s="353"/>
      <c r="D500" s="353"/>
      <c r="E500" s="352"/>
    </row>
    <row r="501" spans="3:5" s="262" customFormat="1" ht="15">
      <c r="C501" s="353"/>
      <c r="D501" s="353"/>
      <c r="E501" s="352"/>
    </row>
    <row r="502" spans="3:5" s="262" customFormat="1" ht="15">
      <c r="C502" s="353"/>
      <c r="D502" s="353"/>
      <c r="E502" s="352"/>
    </row>
    <row r="503" spans="3:5" s="262" customFormat="1" ht="15">
      <c r="C503" s="353"/>
      <c r="D503" s="353"/>
      <c r="E503" s="352"/>
    </row>
    <row r="504" spans="3:5" s="262" customFormat="1" ht="15">
      <c r="C504" s="353"/>
      <c r="D504" s="353"/>
      <c r="E504" s="352"/>
    </row>
    <row r="505" spans="3:5" s="262" customFormat="1" ht="15">
      <c r="C505" s="353"/>
      <c r="D505" s="353"/>
      <c r="E505" s="352"/>
    </row>
    <row r="506" spans="3:5" s="262" customFormat="1" ht="15">
      <c r="C506" s="353"/>
      <c r="D506" s="353"/>
      <c r="E506" s="352"/>
    </row>
    <row r="507" spans="3:5" s="262" customFormat="1" ht="15">
      <c r="C507" s="353"/>
      <c r="D507" s="353"/>
      <c r="E507" s="352"/>
    </row>
    <row r="508" spans="3:5" s="262" customFormat="1" ht="15">
      <c r="C508" s="353"/>
      <c r="D508" s="353"/>
      <c r="E508" s="352"/>
    </row>
    <row r="509" spans="3:5" s="262" customFormat="1" ht="15">
      <c r="C509" s="353"/>
      <c r="D509" s="353"/>
      <c r="E509" s="352"/>
    </row>
    <row r="510" spans="3:5" s="262" customFormat="1" ht="15">
      <c r="C510" s="353"/>
      <c r="D510" s="353"/>
      <c r="E510" s="352"/>
    </row>
    <row r="511" spans="3:5" s="262" customFormat="1" ht="15">
      <c r="C511" s="353"/>
      <c r="D511" s="353"/>
      <c r="E511" s="352"/>
    </row>
    <row r="512" spans="3:5" s="262" customFormat="1" ht="15">
      <c r="C512" s="353"/>
      <c r="D512" s="353"/>
      <c r="E512" s="352"/>
    </row>
    <row r="513" spans="3:5" s="262" customFormat="1" ht="15">
      <c r="C513" s="353"/>
      <c r="D513" s="353"/>
      <c r="E513" s="352"/>
    </row>
    <row r="514" spans="3:5" s="262" customFormat="1" ht="15">
      <c r="C514" s="353"/>
      <c r="D514" s="353"/>
      <c r="E514" s="352"/>
    </row>
    <row r="515" spans="3:5" s="262" customFormat="1" ht="15">
      <c r="C515" s="353"/>
      <c r="D515" s="353"/>
      <c r="E515" s="352"/>
    </row>
    <row r="516" spans="3:5" s="262" customFormat="1" ht="15">
      <c r="C516" s="353"/>
      <c r="D516" s="353"/>
      <c r="E516" s="352"/>
    </row>
    <row r="517" spans="3:5" s="262" customFormat="1" ht="15">
      <c r="C517" s="353"/>
      <c r="D517" s="353"/>
      <c r="E517" s="352"/>
    </row>
    <row r="518" spans="3:5" s="262" customFormat="1" ht="15">
      <c r="C518" s="353"/>
      <c r="D518" s="353"/>
      <c r="E518" s="352"/>
    </row>
    <row r="519" spans="3:5" s="262" customFormat="1" ht="15">
      <c r="C519" s="353"/>
      <c r="D519" s="353"/>
      <c r="E519" s="352"/>
    </row>
    <row r="520" spans="3:5" s="262" customFormat="1" ht="15">
      <c r="C520" s="353"/>
      <c r="D520" s="353"/>
      <c r="E520" s="352"/>
    </row>
    <row r="521" spans="3:5" s="262" customFormat="1" ht="15">
      <c r="C521" s="353"/>
      <c r="D521" s="353"/>
      <c r="E521" s="352"/>
    </row>
    <row r="522" spans="3:5" s="262" customFormat="1" ht="15">
      <c r="C522" s="353"/>
      <c r="D522" s="353"/>
      <c r="E522" s="352"/>
    </row>
    <row r="523" spans="3:5" s="262" customFormat="1" ht="15">
      <c r="C523" s="353"/>
      <c r="D523" s="353"/>
      <c r="E523" s="352"/>
    </row>
    <row r="524" spans="3:5" s="262" customFormat="1" ht="15">
      <c r="C524" s="353"/>
      <c r="D524" s="353"/>
      <c r="E524" s="352"/>
    </row>
    <row r="525" spans="3:5" s="262" customFormat="1" ht="15">
      <c r="C525" s="353"/>
      <c r="D525" s="353"/>
      <c r="E525" s="352"/>
    </row>
    <row r="526" spans="3:5" s="262" customFormat="1" ht="15">
      <c r="C526" s="353"/>
      <c r="D526" s="353"/>
      <c r="E526" s="352"/>
    </row>
    <row r="527" spans="3:5" s="262" customFormat="1" ht="15">
      <c r="C527" s="353"/>
      <c r="D527" s="353"/>
      <c r="E527" s="352"/>
    </row>
    <row r="528" spans="3:5" s="262" customFormat="1" ht="15">
      <c r="C528" s="353"/>
      <c r="D528" s="353"/>
      <c r="E528" s="352"/>
    </row>
    <row r="529" spans="3:5" s="262" customFormat="1" ht="15">
      <c r="C529" s="353"/>
      <c r="D529" s="353"/>
      <c r="E529" s="352"/>
    </row>
    <row r="530" spans="3:5" s="262" customFormat="1" ht="15">
      <c r="C530" s="353"/>
      <c r="D530" s="353"/>
      <c r="E530" s="352"/>
    </row>
    <row r="531" spans="3:5" s="262" customFormat="1" ht="15">
      <c r="C531" s="353"/>
      <c r="D531" s="353"/>
      <c r="E531" s="352"/>
    </row>
    <row r="532" spans="3:5" s="262" customFormat="1" ht="15">
      <c r="C532" s="353"/>
      <c r="D532" s="353"/>
      <c r="E532" s="352"/>
    </row>
    <row r="533" spans="3:5" s="262" customFormat="1" ht="15">
      <c r="C533" s="353"/>
      <c r="D533" s="353"/>
      <c r="E533" s="352"/>
    </row>
    <row r="534" spans="3:5" s="262" customFormat="1" ht="15">
      <c r="C534" s="353"/>
      <c r="D534" s="353"/>
      <c r="E534" s="352"/>
    </row>
    <row r="535" spans="3:5" s="262" customFormat="1" ht="15">
      <c r="C535" s="353"/>
      <c r="D535" s="353"/>
      <c r="E535" s="352"/>
    </row>
    <row r="536" spans="3:5" s="262" customFormat="1" ht="15">
      <c r="C536" s="353"/>
      <c r="D536" s="353"/>
      <c r="E536" s="352"/>
    </row>
    <row r="537" spans="3:5" s="262" customFormat="1" ht="15">
      <c r="C537" s="353"/>
      <c r="D537" s="353"/>
      <c r="E537" s="352"/>
    </row>
    <row r="538" spans="3:5" s="262" customFormat="1" ht="15">
      <c r="C538" s="353"/>
      <c r="D538" s="353"/>
      <c r="E538" s="352"/>
    </row>
    <row r="539" spans="3:5" s="262" customFormat="1" ht="15">
      <c r="C539" s="353"/>
      <c r="D539" s="353"/>
      <c r="E539" s="352"/>
    </row>
    <row r="540" spans="3:5" s="262" customFormat="1" ht="15">
      <c r="C540" s="353"/>
      <c r="D540" s="353"/>
      <c r="E540" s="352"/>
    </row>
    <row r="541" spans="3:5" s="262" customFormat="1" ht="15">
      <c r="C541" s="353"/>
      <c r="D541" s="353"/>
      <c r="E541" s="352"/>
    </row>
    <row r="542" spans="3:5" s="262" customFormat="1" ht="15">
      <c r="C542" s="353"/>
      <c r="D542" s="353"/>
      <c r="E542" s="352"/>
    </row>
    <row r="543" spans="3:5" s="262" customFormat="1" ht="15">
      <c r="C543" s="353"/>
      <c r="D543" s="353"/>
      <c r="E543" s="352"/>
    </row>
    <row r="544" spans="3:5" s="262" customFormat="1" ht="15">
      <c r="C544" s="353"/>
      <c r="D544" s="353"/>
      <c r="E544" s="352"/>
    </row>
    <row r="545" spans="3:5" s="262" customFormat="1" ht="15">
      <c r="C545" s="353"/>
      <c r="D545" s="353"/>
      <c r="E545" s="352"/>
    </row>
    <row r="546" spans="3:5" s="262" customFormat="1" ht="15">
      <c r="C546" s="353"/>
      <c r="D546" s="353"/>
      <c r="E546" s="352"/>
    </row>
    <row r="547" spans="3:5" s="262" customFormat="1" ht="15">
      <c r="C547" s="353"/>
      <c r="D547" s="353"/>
      <c r="E547" s="352"/>
    </row>
    <row r="548" spans="3:5" s="262" customFormat="1" ht="15">
      <c r="C548" s="353"/>
      <c r="D548" s="353"/>
      <c r="E548" s="352"/>
    </row>
    <row r="549" spans="3:5" s="262" customFormat="1" ht="15">
      <c r="C549" s="353"/>
      <c r="D549" s="353"/>
      <c r="E549" s="352"/>
    </row>
    <row r="550" spans="3:5" s="262" customFormat="1" ht="15">
      <c r="C550" s="353"/>
      <c r="D550" s="353"/>
      <c r="E550" s="352"/>
    </row>
    <row r="551" spans="3:5" s="262" customFormat="1" ht="15">
      <c r="C551" s="353"/>
      <c r="D551" s="353"/>
      <c r="E551" s="352"/>
    </row>
    <row r="552" spans="3:5" s="262" customFormat="1" ht="15">
      <c r="C552" s="353"/>
      <c r="D552" s="353"/>
      <c r="E552" s="352"/>
    </row>
    <row r="553" spans="3:5" s="262" customFormat="1" ht="15">
      <c r="C553" s="353"/>
      <c r="D553" s="353"/>
      <c r="E553" s="352"/>
    </row>
    <row r="554" spans="3:5" s="262" customFormat="1" ht="15">
      <c r="C554" s="353"/>
      <c r="D554" s="353"/>
      <c r="E554" s="352"/>
    </row>
    <row r="555" spans="3:5" s="262" customFormat="1" ht="15">
      <c r="C555" s="353"/>
      <c r="D555" s="353"/>
      <c r="E555" s="352"/>
    </row>
    <row r="556" spans="3:5" s="262" customFormat="1" ht="15">
      <c r="C556" s="353"/>
      <c r="D556" s="353"/>
      <c r="E556" s="352"/>
    </row>
    <row r="557" spans="3:5" s="262" customFormat="1" ht="15">
      <c r="C557" s="353"/>
      <c r="D557" s="353"/>
      <c r="E557" s="352"/>
    </row>
    <row r="558" spans="3:5" s="262" customFormat="1" ht="15">
      <c r="C558" s="353"/>
      <c r="D558" s="353"/>
      <c r="E558" s="352"/>
    </row>
    <row r="559" spans="3:5" s="262" customFormat="1" ht="15">
      <c r="C559" s="353"/>
      <c r="D559" s="353"/>
      <c r="E559" s="352"/>
    </row>
    <row r="560" spans="3:5" s="262" customFormat="1" ht="15">
      <c r="C560" s="353"/>
      <c r="D560" s="353"/>
      <c r="E560" s="352"/>
    </row>
    <row r="561" spans="3:5" s="262" customFormat="1" ht="15">
      <c r="C561" s="353"/>
      <c r="D561" s="353"/>
      <c r="E561" s="352"/>
    </row>
    <row r="562" spans="3:5" s="262" customFormat="1" ht="15">
      <c r="C562" s="353"/>
      <c r="D562" s="353"/>
      <c r="E562" s="352"/>
    </row>
    <row r="563" spans="3:5" s="262" customFormat="1" ht="15">
      <c r="C563" s="353"/>
      <c r="D563" s="353"/>
      <c r="E563" s="352"/>
    </row>
    <row r="564" spans="3:5" s="262" customFormat="1" ht="15">
      <c r="C564" s="353"/>
      <c r="D564" s="353"/>
      <c r="E564" s="352"/>
    </row>
    <row r="565" spans="3:5" s="262" customFormat="1" ht="15">
      <c r="C565" s="353"/>
      <c r="D565" s="353"/>
      <c r="E565" s="352"/>
    </row>
    <row r="566" spans="3:5" s="262" customFormat="1" ht="15">
      <c r="C566" s="353"/>
      <c r="D566" s="353"/>
      <c r="E566" s="352"/>
    </row>
    <row r="567" spans="3:5" s="262" customFormat="1" ht="15">
      <c r="C567" s="353"/>
      <c r="D567" s="353"/>
      <c r="E567" s="352"/>
    </row>
    <row r="568" spans="3:5" s="262" customFormat="1" ht="15">
      <c r="C568" s="353"/>
      <c r="D568" s="353"/>
      <c r="E568" s="352"/>
    </row>
    <row r="569" spans="3:5" s="262" customFormat="1" ht="15">
      <c r="C569" s="353"/>
      <c r="D569" s="353"/>
      <c r="E569" s="352"/>
    </row>
    <row r="570" spans="3:5" s="262" customFormat="1" ht="15">
      <c r="C570" s="353"/>
      <c r="D570" s="353"/>
      <c r="E570" s="352"/>
    </row>
    <row r="571" spans="3:5" s="262" customFormat="1" ht="15">
      <c r="C571" s="353"/>
      <c r="D571" s="353"/>
      <c r="E571" s="352"/>
    </row>
  </sheetData>
  <sheetProtection/>
  <mergeCells count="41">
    <mergeCell ref="C10:C11"/>
    <mergeCell ref="A92:E92"/>
    <mergeCell ref="A69:E69"/>
    <mergeCell ref="A382:E382"/>
    <mergeCell ref="A8:E8"/>
    <mergeCell ref="A375:E375"/>
    <mergeCell ref="C4:E4"/>
    <mergeCell ref="A329:E329"/>
    <mergeCell ref="A5:E5"/>
    <mergeCell ref="A135:E135"/>
    <mergeCell ref="C9:E9"/>
    <mergeCell ref="A378:E378"/>
    <mergeCell ref="E10:E11"/>
    <mergeCell ref="A366:E366"/>
    <mergeCell ref="C1:E1"/>
    <mergeCell ref="C2:E2"/>
    <mergeCell ref="C3:E3"/>
    <mergeCell ref="A7:E7"/>
    <mergeCell ref="A9:A11"/>
    <mergeCell ref="A352:E352"/>
    <mergeCell ref="B9:B11"/>
    <mergeCell ref="A182:E182"/>
    <mergeCell ref="A113:E113"/>
    <mergeCell ref="A205:E205"/>
    <mergeCell ref="A388:E388"/>
    <mergeCell ref="A244:E244"/>
    <mergeCell ref="A263:E263"/>
    <mergeCell ref="A226:E226"/>
    <mergeCell ref="A355:E355"/>
    <mergeCell ref="A385:E385"/>
    <mergeCell ref="A362:E362"/>
    <mergeCell ref="A358:E358"/>
    <mergeCell ref="A285:E285"/>
    <mergeCell ref="D10:D11"/>
    <mergeCell ref="A12:E12"/>
    <mergeCell ref="A77:E77"/>
    <mergeCell ref="A122:E122"/>
    <mergeCell ref="A178:E178"/>
    <mergeCell ref="A305:E305"/>
    <mergeCell ref="A88:E88"/>
    <mergeCell ref="A62:E62"/>
  </mergeCells>
  <printOptions/>
  <pageMargins left="0.7874015748031497" right="0.1968503937007874" top="0.7874015748031497" bottom="0.3937007874015748" header="0.5118110236220472" footer="0.5118110236220472"/>
  <pageSetup firstPageNumber="1" useFirstPageNumber="1" fitToHeight="14" horizontalDpi="600" verticalDpi="600" orientation="portrait" paperSize="9" scale="80" r:id="rId3"/>
  <headerFooter alignWithMargins="0">
    <oddFooter>&amp;C
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12"/>
  <sheetViews>
    <sheetView view="pageBreakPreview" zoomScale="120" zoomScaleSheetLayoutView="120" zoomScalePageLayoutView="0" workbookViewId="0" topLeftCell="A1">
      <selection activeCell="A2" sqref="A2:D2"/>
    </sheetView>
  </sheetViews>
  <sheetFormatPr defaultColWidth="9.140625" defaultRowHeight="12.75"/>
  <cols>
    <col min="1" max="1" width="29.421875" style="437" customWidth="1"/>
    <col min="2" max="2" width="20.57421875" style="437" customWidth="1"/>
    <col min="3" max="3" width="20.00390625" style="437" customWidth="1"/>
    <col min="4" max="4" width="13.8515625" style="437" customWidth="1"/>
    <col min="5" max="16384" width="9.140625" style="437" customWidth="1"/>
  </cols>
  <sheetData>
    <row r="1" ht="25.5" customHeight="1">
      <c r="D1" s="437" t="s">
        <v>402</v>
      </c>
    </row>
    <row r="2" spans="1:4" ht="27.75" customHeight="1">
      <c r="A2" s="693" t="s">
        <v>305</v>
      </c>
      <c r="B2" s="693"/>
      <c r="C2" s="693"/>
      <c r="D2" s="693"/>
    </row>
    <row r="3" spans="1:4" ht="93.75" customHeight="1">
      <c r="A3" s="692" t="s">
        <v>309</v>
      </c>
      <c r="B3" s="692"/>
      <c r="C3" s="692"/>
      <c r="D3" s="692"/>
    </row>
    <row r="4" spans="1:2" ht="12.75">
      <c r="A4" s="438"/>
      <c r="B4" s="444" t="s">
        <v>307</v>
      </c>
    </row>
    <row r="5" spans="1:2" ht="12.75">
      <c r="A5" s="438"/>
      <c r="B5" s="444"/>
    </row>
    <row r="6" spans="1:4" ht="27.75" customHeight="1">
      <c r="A6" s="691" t="s">
        <v>306</v>
      </c>
      <c r="B6" s="694" t="s">
        <v>310</v>
      </c>
      <c r="C6" s="695"/>
      <c r="D6" s="696"/>
    </row>
    <row r="7" spans="1:4" ht="29.25" customHeight="1">
      <c r="A7" s="691"/>
      <c r="B7" s="443"/>
      <c r="C7" s="443"/>
      <c r="D7" s="697" t="s">
        <v>7</v>
      </c>
    </row>
    <row r="8" spans="1:4" ht="42.75" customHeight="1">
      <c r="A8" s="691"/>
      <c r="B8" s="443"/>
      <c r="C8" s="443"/>
      <c r="D8" s="698"/>
    </row>
    <row r="9" spans="1:4" ht="24" customHeight="1">
      <c r="A9" s="439" t="s">
        <v>42</v>
      </c>
      <c r="B9" s="440"/>
      <c r="C9" s="440"/>
      <c r="D9" s="445">
        <f>SUM(B9:C9)</f>
        <v>0</v>
      </c>
    </row>
    <row r="10" spans="1:4" ht="24" customHeight="1">
      <c r="A10" s="439" t="s">
        <v>55</v>
      </c>
      <c r="B10" s="440"/>
      <c r="C10" s="440"/>
      <c r="D10" s="445">
        <f>SUM(B10:C10)</f>
        <v>0</v>
      </c>
    </row>
    <row r="11" spans="1:4" ht="24" customHeight="1">
      <c r="A11" s="439" t="s">
        <v>223</v>
      </c>
      <c r="B11" s="440"/>
      <c r="C11" s="440"/>
      <c r="D11" s="445">
        <f>SUM(B11:C11)</f>
        <v>0</v>
      </c>
    </row>
    <row r="12" spans="1:4" ht="24" customHeight="1">
      <c r="A12" s="441" t="s">
        <v>308</v>
      </c>
      <c r="B12" s="442">
        <f>SUM(B9:B11)</f>
        <v>0</v>
      </c>
      <c r="C12" s="442">
        <f>SUM(C9:C11)</f>
        <v>0</v>
      </c>
      <c r="D12" s="442">
        <f>SUM(D9:D11)</f>
        <v>0</v>
      </c>
    </row>
  </sheetData>
  <sheetProtection/>
  <mergeCells count="5">
    <mergeCell ref="A6:A8"/>
    <mergeCell ref="A3:D3"/>
    <mergeCell ref="A2:D2"/>
    <mergeCell ref="B6:D6"/>
    <mergeCell ref="D7:D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9"/>
  <sheetViews>
    <sheetView view="pageBreakPreview" zoomScale="80" zoomScaleSheetLayoutView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16" sqref="N16"/>
    </sheetView>
  </sheetViews>
  <sheetFormatPr defaultColWidth="9.140625" defaultRowHeight="12.75"/>
  <cols>
    <col min="1" max="1" width="33.140625" style="289" customWidth="1"/>
    <col min="2" max="2" width="19.8515625" style="289" customWidth="1"/>
    <col min="3" max="3" width="18.57421875" style="289" customWidth="1"/>
    <col min="4" max="4" width="18.7109375" style="289" customWidth="1"/>
    <col min="5" max="5" width="19.140625" style="294" customWidth="1"/>
    <col min="6" max="6" width="17.421875" style="289" customWidth="1"/>
    <col min="7" max="7" width="17.00390625" style="289" customWidth="1"/>
    <col min="8" max="8" width="14.28125" style="289" customWidth="1"/>
    <col min="9" max="9" width="13.28125" style="289" customWidth="1"/>
    <col min="10" max="16384" width="9.140625" style="289" customWidth="1"/>
  </cols>
  <sheetData>
    <row r="1" spans="4:9" ht="21" customHeight="1">
      <c r="D1" s="290"/>
      <c r="E1" s="290"/>
      <c r="G1" s="291"/>
      <c r="H1" s="291"/>
      <c r="I1" s="289" t="s">
        <v>403</v>
      </c>
    </row>
    <row r="2" spans="4:8" ht="21" customHeight="1">
      <c r="D2" s="290"/>
      <c r="E2" s="290"/>
      <c r="G2" s="291"/>
      <c r="H2" s="291"/>
    </row>
    <row r="3" spans="1:9" ht="31.5" customHeight="1">
      <c r="A3" s="629" t="str">
        <f>'1. АМП'!A5:E5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629"/>
      <c r="C3" s="629"/>
      <c r="D3" s="629"/>
      <c r="E3" s="629"/>
      <c r="F3" s="629"/>
      <c r="G3" s="629"/>
      <c r="H3" s="629"/>
      <c r="I3" s="629"/>
    </row>
    <row r="4" spans="1:9" ht="21.75" customHeight="1">
      <c r="A4" s="630" t="s">
        <v>408</v>
      </c>
      <c r="B4" s="630"/>
      <c r="C4" s="630"/>
      <c r="D4" s="630"/>
      <c r="E4" s="630"/>
      <c r="F4" s="630"/>
      <c r="G4" s="630"/>
      <c r="H4" s="630"/>
      <c r="I4" s="630"/>
    </row>
    <row r="5" spans="2:8" ht="15.75">
      <c r="B5" s="309"/>
      <c r="C5" s="309"/>
      <c r="D5" s="309"/>
      <c r="E5" s="309"/>
      <c r="F5" s="309"/>
      <c r="G5" s="309"/>
      <c r="H5" s="309"/>
    </row>
    <row r="6" spans="1:9" ht="15.75">
      <c r="A6" s="627" t="s">
        <v>209</v>
      </c>
      <c r="B6" s="632" t="s">
        <v>256</v>
      </c>
      <c r="C6" s="626" t="s">
        <v>210</v>
      </c>
      <c r="D6" s="626"/>
      <c r="E6" s="626"/>
      <c r="F6" s="390"/>
      <c r="G6" s="632" t="s">
        <v>257</v>
      </c>
      <c r="H6" s="626" t="s">
        <v>210</v>
      </c>
      <c r="I6" s="626"/>
    </row>
    <row r="7" spans="1:9" ht="15.75">
      <c r="A7" s="631"/>
      <c r="B7" s="633"/>
      <c r="C7" s="627" t="s">
        <v>224</v>
      </c>
      <c r="D7" s="627" t="s">
        <v>270</v>
      </c>
      <c r="E7" s="627" t="s">
        <v>211</v>
      </c>
      <c r="F7" s="390" t="s">
        <v>210</v>
      </c>
      <c r="G7" s="633"/>
      <c r="H7" s="627" t="s">
        <v>212</v>
      </c>
      <c r="I7" s="627" t="s">
        <v>213</v>
      </c>
    </row>
    <row r="8" spans="1:9" ht="82.5" customHeight="1">
      <c r="A8" s="628"/>
      <c r="B8" s="634"/>
      <c r="C8" s="628"/>
      <c r="D8" s="628"/>
      <c r="E8" s="628"/>
      <c r="F8" s="390" t="s">
        <v>258</v>
      </c>
      <c r="G8" s="634"/>
      <c r="H8" s="628"/>
      <c r="I8" s="628"/>
    </row>
    <row r="9" spans="1:9" ht="15.75">
      <c r="A9" s="391">
        <v>1</v>
      </c>
      <c r="B9" s="391">
        <v>2</v>
      </c>
      <c r="C9" s="391">
        <v>3</v>
      </c>
      <c r="D9" s="391">
        <v>4</v>
      </c>
      <c r="E9" s="391">
        <v>5</v>
      </c>
      <c r="F9" s="390">
        <v>6</v>
      </c>
      <c r="G9" s="391">
        <v>7</v>
      </c>
      <c r="H9" s="391">
        <v>8</v>
      </c>
      <c r="I9" s="391">
        <v>9</v>
      </c>
    </row>
    <row r="10" spans="1:9" ht="31.5">
      <c r="A10" s="392" t="s">
        <v>55</v>
      </c>
      <c r="B10" s="401">
        <f>SUM(C10:E10)</f>
        <v>234</v>
      </c>
      <c r="C10" s="292">
        <v>134</v>
      </c>
      <c r="D10" s="292">
        <v>100</v>
      </c>
      <c r="E10" s="292">
        <v>0</v>
      </c>
      <c r="F10" s="393"/>
      <c r="G10" s="401">
        <f aca="true" t="shared" si="0" ref="G10:G21">SUM(H10:I10)</f>
        <v>18505</v>
      </c>
      <c r="H10" s="594">
        <v>18505</v>
      </c>
      <c r="I10" s="596">
        <v>0</v>
      </c>
    </row>
    <row r="11" spans="1:9" ht="31.5">
      <c r="A11" s="394" t="s">
        <v>259</v>
      </c>
      <c r="B11" s="401">
        <f aca="true" t="shared" si="1" ref="B11:B21">SUM(C11:E11)</f>
        <v>30253</v>
      </c>
      <c r="C11" s="292">
        <v>0</v>
      </c>
      <c r="D11" s="292">
        <v>0</v>
      </c>
      <c r="E11" s="595">
        <v>30253</v>
      </c>
      <c r="F11" s="393">
        <v>2074</v>
      </c>
      <c r="G11" s="401">
        <f t="shared" si="0"/>
        <v>6651</v>
      </c>
      <c r="H11" s="596">
        <v>0</v>
      </c>
      <c r="I11" s="594">
        <v>6651</v>
      </c>
    </row>
    <row r="12" spans="1:12" ht="31.5">
      <c r="A12" s="395" t="s">
        <v>260</v>
      </c>
      <c r="B12" s="402">
        <f>SUM(B14:B21)</f>
        <v>14088</v>
      </c>
      <c r="C12" s="396">
        <f>SUM(C14:C21)</f>
        <v>116</v>
      </c>
      <c r="D12" s="396">
        <f aca="true" t="shared" si="2" ref="D12:I12">SUM(D14:D21)</f>
        <v>184</v>
      </c>
      <c r="E12" s="396">
        <f t="shared" si="2"/>
        <v>13788</v>
      </c>
      <c r="F12" s="397">
        <f t="shared" si="2"/>
        <v>946</v>
      </c>
      <c r="G12" s="402">
        <f t="shared" si="2"/>
        <v>10566</v>
      </c>
      <c r="H12" s="396">
        <f t="shared" si="2"/>
        <v>7534</v>
      </c>
      <c r="I12" s="396">
        <f t="shared" si="2"/>
        <v>3032</v>
      </c>
      <c r="J12" s="309"/>
      <c r="L12" s="309"/>
    </row>
    <row r="13" spans="1:9" ht="28.5" customHeight="1">
      <c r="A13" s="404" t="s">
        <v>261</v>
      </c>
      <c r="B13" s="405"/>
      <c r="C13" s="406"/>
      <c r="D13" s="406"/>
      <c r="E13" s="406"/>
      <c r="F13" s="407"/>
      <c r="G13" s="405"/>
      <c r="H13" s="406"/>
      <c r="I13" s="408"/>
    </row>
    <row r="14" spans="1:9" ht="31.5">
      <c r="A14" s="398" t="s">
        <v>262</v>
      </c>
      <c r="B14" s="403">
        <f>SUM(C14:E14)</f>
        <v>2752</v>
      </c>
      <c r="C14" s="310">
        <v>116</v>
      </c>
      <c r="D14" s="310">
        <v>24</v>
      </c>
      <c r="E14" s="594">
        <v>2612</v>
      </c>
      <c r="F14" s="399">
        <v>179</v>
      </c>
      <c r="G14" s="403">
        <f t="shared" si="0"/>
        <v>2022</v>
      </c>
      <c r="H14" s="594">
        <v>1448</v>
      </c>
      <c r="I14" s="594">
        <v>574</v>
      </c>
    </row>
    <row r="15" spans="1:9" ht="30" customHeight="1">
      <c r="A15" s="400" t="s">
        <v>263</v>
      </c>
      <c r="B15" s="401">
        <f t="shared" si="1"/>
        <v>1499</v>
      </c>
      <c r="C15" s="310">
        <v>0</v>
      </c>
      <c r="D15" s="310">
        <v>22</v>
      </c>
      <c r="E15" s="594">
        <v>1477</v>
      </c>
      <c r="F15" s="399">
        <v>101</v>
      </c>
      <c r="G15" s="401">
        <f t="shared" si="0"/>
        <v>1151</v>
      </c>
      <c r="H15" s="596">
        <v>826</v>
      </c>
      <c r="I15" s="594">
        <v>325</v>
      </c>
    </row>
    <row r="16" spans="1:9" ht="31.5" customHeight="1">
      <c r="A16" s="400" t="s">
        <v>264</v>
      </c>
      <c r="B16" s="401">
        <f t="shared" si="1"/>
        <v>806</v>
      </c>
      <c r="C16" s="310">
        <v>0</v>
      </c>
      <c r="D16" s="594">
        <v>20</v>
      </c>
      <c r="E16" s="594">
        <v>786</v>
      </c>
      <c r="F16" s="399">
        <v>54</v>
      </c>
      <c r="G16" s="401">
        <f t="shared" si="0"/>
        <v>554</v>
      </c>
      <c r="H16" s="594">
        <v>381</v>
      </c>
      <c r="I16" s="596">
        <v>173</v>
      </c>
    </row>
    <row r="17" spans="1:9" ht="31.5">
      <c r="A17" s="400" t="s">
        <v>265</v>
      </c>
      <c r="B17" s="401">
        <f t="shared" si="1"/>
        <v>2350</v>
      </c>
      <c r="C17" s="310">
        <v>0</v>
      </c>
      <c r="D17" s="310">
        <v>19</v>
      </c>
      <c r="E17" s="594">
        <v>2331</v>
      </c>
      <c r="F17" s="399">
        <v>160</v>
      </c>
      <c r="G17" s="401">
        <f t="shared" si="0"/>
        <v>1801</v>
      </c>
      <c r="H17" s="594">
        <v>1289</v>
      </c>
      <c r="I17" s="594">
        <v>512</v>
      </c>
    </row>
    <row r="18" spans="1:9" ht="37.5" customHeight="1">
      <c r="A18" s="400" t="s">
        <v>266</v>
      </c>
      <c r="B18" s="401">
        <f t="shared" si="1"/>
        <v>638</v>
      </c>
      <c r="C18" s="310">
        <v>0</v>
      </c>
      <c r="D18" s="310">
        <v>26</v>
      </c>
      <c r="E18" s="594">
        <v>612</v>
      </c>
      <c r="F18" s="399">
        <v>42</v>
      </c>
      <c r="G18" s="401">
        <f t="shared" si="0"/>
        <v>553</v>
      </c>
      <c r="H18" s="596">
        <v>418</v>
      </c>
      <c r="I18" s="596">
        <v>135</v>
      </c>
    </row>
    <row r="19" spans="1:9" ht="31.5">
      <c r="A19" s="400" t="s">
        <v>267</v>
      </c>
      <c r="B19" s="401">
        <f t="shared" si="1"/>
        <v>1195</v>
      </c>
      <c r="C19" s="310">
        <v>0</v>
      </c>
      <c r="D19" s="310">
        <v>19</v>
      </c>
      <c r="E19" s="594">
        <v>1176</v>
      </c>
      <c r="F19" s="399">
        <v>81</v>
      </c>
      <c r="G19" s="401">
        <f t="shared" si="0"/>
        <v>856</v>
      </c>
      <c r="H19" s="594">
        <v>597</v>
      </c>
      <c r="I19" s="596">
        <v>259</v>
      </c>
    </row>
    <row r="20" spans="1:9" ht="31.5">
      <c r="A20" s="400" t="s">
        <v>268</v>
      </c>
      <c r="B20" s="401">
        <f t="shared" si="1"/>
        <v>2176</v>
      </c>
      <c r="C20" s="310">
        <v>0</v>
      </c>
      <c r="D20" s="310">
        <v>32</v>
      </c>
      <c r="E20" s="594">
        <v>2144</v>
      </c>
      <c r="F20" s="399">
        <v>147</v>
      </c>
      <c r="G20" s="401">
        <f t="shared" si="0"/>
        <v>1639</v>
      </c>
      <c r="H20" s="596">
        <v>1168</v>
      </c>
      <c r="I20" s="594">
        <v>471</v>
      </c>
    </row>
    <row r="21" spans="1:9" ht="33" customHeight="1">
      <c r="A21" s="400" t="s">
        <v>269</v>
      </c>
      <c r="B21" s="401">
        <f t="shared" si="1"/>
        <v>2672</v>
      </c>
      <c r="C21" s="310">
        <v>0</v>
      </c>
      <c r="D21" s="594">
        <v>22</v>
      </c>
      <c r="E21" s="594">
        <v>2650</v>
      </c>
      <c r="F21" s="399">
        <v>182</v>
      </c>
      <c r="G21" s="401">
        <f t="shared" si="0"/>
        <v>1990</v>
      </c>
      <c r="H21" s="594">
        <v>1407</v>
      </c>
      <c r="I21" s="594">
        <v>583</v>
      </c>
    </row>
    <row r="22" spans="1:9" ht="15.75">
      <c r="A22" s="293" t="s">
        <v>32</v>
      </c>
      <c r="B22" s="401">
        <f>B10+B11+B12</f>
        <v>44575</v>
      </c>
      <c r="C22" s="292">
        <f aca="true" t="shared" si="3" ref="C22:I22">C10+C11+C12</f>
        <v>250</v>
      </c>
      <c r="D22" s="292">
        <f t="shared" si="3"/>
        <v>284</v>
      </c>
      <c r="E22" s="292">
        <f t="shared" si="3"/>
        <v>44041</v>
      </c>
      <c r="F22" s="393">
        <f t="shared" si="3"/>
        <v>3020</v>
      </c>
      <c r="G22" s="401">
        <f t="shared" si="3"/>
        <v>35722</v>
      </c>
      <c r="H22" s="292">
        <f t="shared" si="3"/>
        <v>26039</v>
      </c>
      <c r="I22" s="292">
        <f t="shared" si="3"/>
        <v>9683</v>
      </c>
    </row>
    <row r="24" spans="3:9" ht="15.75">
      <c r="C24" s="581">
        <v>9.44</v>
      </c>
      <c r="E24" s="294">
        <v>1.54</v>
      </c>
      <c r="H24" s="289">
        <v>3.78</v>
      </c>
      <c r="I24" s="289">
        <v>1.34</v>
      </c>
    </row>
    <row r="25" spans="2:9" ht="15.75">
      <c r="B25" s="580">
        <f>SUM(C25:E25)-3</f>
        <v>72861</v>
      </c>
      <c r="C25" s="580">
        <f>ROUND((C22+D22)*C24,0)</f>
        <v>5041</v>
      </c>
      <c r="E25" s="580">
        <f>ROUND(E22*E24,0)</f>
        <v>67823</v>
      </c>
      <c r="G25" s="580">
        <f>SUM(H25:I25)</f>
        <v>111402</v>
      </c>
      <c r="H25" s="580">
        <f>ROUND(H22*H24,0)</f>
        <v>98427</v>
      </c>
      <c r="I25" s="580">
        <f>ROUND(I22*I24,0)</f>
        <v>12975</v>
      </c>
    </row>
    <row r="26" spans="2:7" ht="15.75">
      <c r="B26" s="583">
        <f>B25/B22</f>
        <v>1.634570947840718</v>
      </c>
      <c r="G26" s="583">
        <f>G25/G22</f>
        <v>3.11858238620458</v>
      </c>
    </row>
    <row r="27" spans="2:9" ht="15.75">
      <c r="B27" s="309"/>
      <c r="C27" s="309"/>
      <c r="D27" s="309"/>
      <c r="E27" s="309"/>
      <c r="F27" s="309"/>
      <c r="G27" s="309"/>
      <c r="H27" s="309"/>
      <c r="I27" s="309"/>
    </row>
    <row r="28" spans="2:9" ht="15.75">
      <c r="B28" s="309"/>
      <c r="C28" s="309"/>
      <c r="D28" s="309"/>
      <c r="E28" s="309"/>
      <c r="F28" s="309"/>
      <c r="G28" s="309"/>
      <c r="H28" s="309"/>
      <c r="I28" s="309"/>
    </row>
    <row r="29" spans="2:9" ht="15.75">
      <c r="B29" s="309"/>
      <c r="C29" s="309"/>
      <c r="D29" s="309"/>
      <c r="E29" s="309"/>
      <c r="F29" s="309"/>
      <c r="G29" s="309"/>
      <c r="H29" s="309"/>
      <c r="I29" s="309"/>
    </row>
  </sheetData>
  <sheetProtection/>
  <mergeCells count="12">
    <mergeCell ref="A3:I3"/>
    <mergeCell ref="A4:I4"/>
    <mergeCell ref="A6:A8"/>
    <mergeCell ref="B6:B8"/>
    <mergeCell ref="C6:E6"/>
    <mergeCell ref="G6:G8"/>
    <mergeCell ref="H6:I6"/>
    <mergeCell ref="C7:C8"/>
    <mergeCell ref="D7:D8"/>
    <mergeCell ref="E7:E8"/>
    <mergeCell ref="H7:H8"/>
    <mergeCell ref="I7:I8"/>
  </mergeCells>
  <printOptions/>
  <pageMargins left="0.7" right="0.7" top="0.75" bottom="0.75" header="0.3" footer="0.3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Q24"/>
  <sheetViews>
    <sheetView zoomScalePageLayoutView="0" workbookViewId="0" topLeftCell="A1">
      <selection activeCell="P21" sqref="P21"/>
    </sheetView>
  </sheetViews>
  <sheetFormatPr defaultColWidth="9.140625" defaultRowHeight="12.75" outlineLevelCol="1"/>
  <cols>
    <col min="1" max="1" width="28.28125" style="3" customWidth="1"/>
    <col min="2" max="2" width="14.421875" style="3" customWidth="1"/>
    <col min="3" max="3" width="16.28125" style="3" customWidth="1"/>
    <col min="4" max="4" width="13.140625" style="3" customWidth="1"/>
    <col min="5" max="5" width="15.7109375" style="3" customWidth="1"/>
    <col min="6" max="7" width="13.421875" style="3" hidden="1" customWidth="1" outlineLevel="1"/>
    <col min="8" max="15" width="12.00390625" style="3" hidden="1" customWidth="1" outlineLevel="1"/>
    <col min="16" max="16" width="14.421875" style="3" customWidth="1" collapsed="1"/>
    <col min="17" max="16384" width="9.140625" style="3" customWidth="1"/>
  </cols>
  <sheetData>
    <row r="1" spans="16:17" ht="15.75">
      <c r="P1" s="226" t="s">
        <v>404</v>
      </c>
      <c r="Q1" s="226"/>
    </row>
    <row r="2" spans="16:17" ht="15.75">
      <c r="P2" s="481"/>
      <c r="Q2" s="481"/>
    </row>
    <row r="3" spans="1:16" ht="42" customHeight="1">
      <c r="A3" s="621" t="str">
        <f>'1.1. ПРОФ.МЕРОПРИЯТИЯ'!A3:I3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</row>
    <row r="5" spans="1:16" ht="14.25">
      <c r="A5" s="637" t="s">
        <v>407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</row>
    <row r="6" ht="13.5" thickBot="1"/>
    <row r="7" spans="1:16" ht="15" customHeight="1">
      <c r="A7" s="638" t="s">
        <v>388</v>
      </c>
      <c r="B7" s="640" t="s">
        <v>398</v>
      </c>
      <c r="C7" s="640" t="s">
        <v>400</v>
      </c>
      <c r="D7" s="640" t="s">
        <v>223</v>
      </c>
      <c r="E7" s="640" t="s">
        <v>401</v>
      </c>
      <c r="F7" s="642" t="s">
        <v>210</v>
      </c>
      <c r="G7" s="643"/>
      <c r="H7" s="643"/>
      <c r="I7" s="643"/>
      <c r="J7" s="643"/>
      <c r="K7" s="643"/>
      <c r="L7" s="643"/>
      <c r="M7" s="643"/>
      <c r="N7" s="643"/>
      <c r="O7" s="644"/>
      <c r="P7" s="635" t="s">
        <v>399</v>
      </c>
    </row>
    <row r="8" spans="1:16" ht="68.25" customHeight="1" thickBot="1">
      <c r="A8" s="639"/>
      <c r="B8" s="641"/>
      <c r="C8" s="641"/>
      <c r="D8" s="641"/>
      <c r="E8" s="641"/>
      <c r="F8" s="527" t="s">
        <v>389</v>
      </c>
      <c r="G8" s="527" t="s">
        <v>445</v>
      </c>
      <c r="H8" s="527" t="s">
        <v>390</v>
      </c>
      <c r="I8" s="527" t="s">
        <v>391</v>
      </c>
      <c r="J8" s="527" t="s">
        <v>392</v>
      </c>
      <c r="K8" s="527" t="s">
        <v>393</v>
      </c>
      <c r="L8" s="527" t="s">
        <v>394</v>
      </c>
      <c r="M8" s="527" t="s">
        <v>395</v>
      </c>
      <c r="N8" s="527" t="s">
        <v>396</v>
      </c>
      <c r="O8" s="527" t="s">
        <v>397</v>
      </c>
      <c r="P8" s="636"/>
    </row>
    <row r="9" spans="1:16" ht="18.75" customHeight="1">
      <c r="A9" s="521" t="s">
        <v>70</v>
      </c>
      <c r="B9" s="510">
        <v>1172</v>
      </c>
      <c r="C9" s="510">
        <v>0</v>
      </c>
      <c r="D9" s="511">
        <v>0</v>
      </c>
      <c r="E9" s="510">
        <f>SUM(F9:O9)</f>
        <v>1151</v>
      </c>
      <c r="F9" s="528">
        <v>121</v>
      </c>
      <c r="G9" s="528"/>
      <c r="H9" s="528">
        <v>121</v>
      </c>
      <c r="I9" s="528">
        <v>121</v>
      </c>
      <c r="J9" s="528">
        <v>121</v>
      </c>
      <c r="K9" s="528">
        <v>61</v>
      </c>
      <c r="L9" s="528">
        <v>121</v>
      </c>
      <c r="M9" s="528">
        <v>121</v>
      </c>
      <c r="N9" s="528">
        <v>182</v>
      </c>
      <c r="O9" s="528">
        <v>182</v>
      </c>
      <c r="P9" s="518">
        <f>B9+C9+D9+E9</f>
        <v>2323</v>
      </c>
    </row>
    <row r="10" spans="1:16" ht="18.75" customHeight="1">
      <c r="A10" s="507" t="s">
        <v>13</v>
      </c>
      <c r="B10" s="508">
        <v>0</v>
      </c>
      <c r="C10" s="508">
        <v>0</v>
      </c>
      <c r="D10" s="509">
        <v>0</v>
      </c>
      <c r="E10" s="508">
        <f aca="true" t="shared" si="0" ref="E10:E21">SUM(F10:O10)</f>
        <v>986</v>
      </c>
      <c r="F10" s="529">
        <v>0</v>
      </c>
      <c r="G10" s="529">
        <v>580</v>
      </c>
      <c r="H10" s="529">
        <v>116</v>
      </c>
      <c r="I10" s="529">
        <v>116</v>
      </c>
      <c r="J10" s="529">
        <v>29</v>
      </c>
      <c r="K10" s="529">
        <v>0</v>
      </c>
      <c r="L10" s="529">
        <v>29</v>
      </c>
      <c r="M10" s="529">
        <v>0</v>
      </c>
      <c r="N10" s="529">
        <v>29</v>
      </c>
      <c r="O10" s="529">
        <v>87</v>
      </c>
      <c r="P10" s="519">
        <f aca="true" t="shared" si="1" ref="P10:P21">B10+C10+D10+E10</f>
        <v>986</v>
      </c>
    </row>
    <row r="11" spans="1:16" ht="18.75" customHeight="1">
      <c r="A11" s="521" t="s">
        <v>80</v>
      </c>
      <c r="B11" s="508">
        <v>0</v>
      </c>
      <c r="C11" s="508">
        <v>0</v>
      </c>
      <c r="D11" s="509">
        <v>231</v>
      </c>
      <c r="E11" s="508">
        <f t="shared" si="0"/>
        <v>438</v>
      </c>
      <c r="F11" s="529">
        <v>0</v>
      </c>
      <c r="G11" s="529"/>
      <c r="H11" s="529">
        <v>34</v>
      </c>
      <c r="I11" s="529">
        <v>34</v>
      </c>
      <c r="J11" s="529">
        <v>0</v>
      </c>
      <c r="K11" s="529">
        <v>34</v>
      </c>
      <c r="L11" s="529">
        <v>34</v>
      </c>
      <c r="M11" s="529">
        <v>34</v>
      </c>
      <c r="N11" s="529">
        <v>134</v>
      </c>
      <c r="O11" s="529">
        <v>134</v>
      </c>
      <c r="P11" s="519">
        <f t="shared" si="1"/>
        <v>669</v>
      </c>
    </row>
    <row r="12" spans="1:16" ht="18.75" customHeight="1">
      <c r="A12" s="507" t="s">
        <v>66</v>
      </c>
      <c r="B12" s="508">
        <v>0</v>
      </c>
      <c r="C12" s="508">
        <v>0</v>
      </c>
      <c r="D12" s="509">
        <v>297</v>
      </c>
      <c r="E12" s="508">
        <f t="shared" si="0"/>
        <v>90</v>
      </c>
      <c r="F12" s="529">
        <v>0</v>
      </c>
      <c r="G12" s="529"/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30</v>
      </c>
      <c r="N12" s="529">
        <v>60</v>
      </c>
      <c r="O12" s="529">
        <v>0</v>
      </c>
      <c r="P12" s="519">
        <f t="shared" si="1"/>
        <v>387</v>
      </c>
    </row>
    <row r="13" spans="1:16" ht="18.75" customHeight="1">
      <c r="A13" s="507" t="s">
        <v>3</v>
      </c>
      <c r="B13" s="508">
        <v>0</v>
      </c>
      <c r="C13" s="508">
        <v>0</v>
      </c>
      <c r="D13" s="509">
        <v>1127</v>
      </c>
      <c r="E13" s="508">
        <f t="shared" si="0"/>
        <v>1443</v>
      </c>
      <c r="F13" s="529">
        <v>0</v>
      </c>
      <c r="G13" s="529"/>
      <c r="H13" s="529">
        <v>251</v>
      </c>
      <c r="I13" s="529">
        <v>251</v>
      </c>
      <c r="J13" s="529">
        <v>0</v>
      </c>
      <c r="K13" s="529">
        <v>0</v>
      </c>
      <c r="L13" s="529">
        <v>251</v>
      </c>
      <c r="M13" s="529">
        <v>251</v>
      </c>
      <c r="N13" s="529">
        <v>188</v>
      </c>
      <c r="O13" s="529">
        <v>251</v>
      </c>
      <c r="P13" s="519">
        <f t="shared" si="1"/>
        <v>2570</v>
      </c>
    </row>
    <row r="14" spans="1:16" ht="18.75" customHeight="1">
      <c r="A14" s="507" t="s">
        <v>6</v>
      </c>
      <c r="B14" s="508">
        <v>0</v>
      </c>
      <c r="C14" s="508">
        <v>0</v>
      </c>
      <c r="D14" s="509">
        <v>0</v>
      </c>
      <c r="E14" s="508">
        <f t="shared" si="0"/>
        <v>3274</v>
      </c>
      <c r="F14" s="529">
        <v>1931</v>
      </c>
      <c r="G14" s="529"/>
      <c r="H14" s="529">
        <v>298</v>
      </c>
      <c r="I14" s="529">
        <v>298</v>
      </c>
      <c r="J14" s="529">
        <v>75</v>
      </c>
      <c r="K14" s="529">
        <v>75</v>
      </c>
      <c r="L14" s="529">
        <v>75</v>
      </c>
      <c r="M14" s="529">
        <v>75</v>
      </c>
      <c r="N14" s="529">
        <v>149</v>
      </c>
      <c r="O14" s="529">
        <v>298</v>
      </c>
      <c r="P14" s="519">
        <f t="shared" si="1"/>
        <v>3274</v>
      </c>
    </row>
    <row r="15" spans="1:16" ht="18.75" customHeight="1">
      <c r="A15" s="507" t="s">
        <v>71</v>
      </c>
      <c r="B15" s="508">
        <v>0</v>
      </c>
      <c r="C15" s="508">
        <v>0</v>
      </c>
      <c r="D15" s="509">
        <v>263</v>
      </c>
      <c r="E15" s="508">
        <f t="shared" si="0"/>
        <v>300</v>
      </c>
      <c r="F15" s="529">
        <v>0</v>
      </c>
      <c r="G15" s="529"/>
      <c r="H15" s="529">
        <v>80</v>
      </c>
      <c r="I15" s="529">
        <v>40</v>
      </c>
      <c r="J15" s="529">
        <v>0</v>
      </c>
      <c r="K15" s="529">
        <v>0</v>
      </c>
      <c r="L15" s="529">
        <v>20</v>
      </c>
      <c r="M15" s="529">
        <v>0</v>
      </c>
      <c r="N15" s="529">
        <v>80</v>
      </c>
      <c r="O15" s="529">
        <v>80</v>
      </c>
      <c r="P15" s="519">
        <f t="shared" si="1"/>
        <v>563</v>
      </c>
    </row>
    <row r="16" spans="1:16" ht="18.75" customHeight="1">
      <c r="A16" s="507" t="s">
        <v>2</v>
      </c>
      <c r="B16" s="508">
        <v>0</v>
      </c>
      <c r="C16" s="508">
        <v>0</v>
      </c>
      <c r="D16" s="509">
        <v>611</v>
      </c>
      <c r="E16" s="508">
        <f t="shared" si="0"/>
        <v>656</v>
      </c>
      <c r="F16" s="529">
        <v>0</v>
      </c>
      <c r="G16" s="529"/>
      <c r="H16" s="529">
        <v>175</v>
      </c>
      <c r="I16" s="529">
        <v>0</v>
      </c>
      <c r="J16" s="529">
        <v>0</v>
      </c>
      <c r="K16" s="529">
        <v>0</v>
      </c>
      <c r="L16" s="529">
        <v>131</v>
      </c>
      <c r="M16" s="529">
        <v>0</v>
      </c>
      <c r="N16" s="529">
        <v>175</v>
      </c>
      <c r="O16" s="529">
        <v>175</v>
      </c>
      <c r="P16" s="519">
        <f t="shared" si="1"/>
        <v>1267</v>
      </c>
    </row>
    <row r="17" spans="1:16" ht="18.75" customHeight="1">
      <c r="A17" s="507" t="s">
        <v>0</v>
      </c>
      <c r="B17" s="508">
        <v>0</v>
      </c>
      <c r="C17" s="508">
        <v>0</v>
      </c>
      <c r="D17" s="508">
        <v>12183</v>
      </c>
      <c r="E17" s="508">
        <f t="shared" si="0"/>
        <v>8235</v>
      </c>
      <c r="F17" s="529">
        <v>0</v>
      </c>
      <c r="G17" s="529"/>
      <c r="H17" s="529">
        <v>1716</v>
      </c>
      <c r="I17" s="530">
        <v>686</v>
      </c>
      <c r="J17" s="529">
        <v>343</v>
      </c>
      <c r="K17" s="530">
        <v>343</v>
      </c>
      <c r="L17" s="530">
        <v>1373</v>
      </c>
      <c r="M17" s="529">
        <v>686</v>
      </c>
      <c r="N17" s="529">
        <v>1029</v>
      </c>
      <c r="O17" s="529">
        <v>2059</v>
      </c>
      <c r="P17" s="519">
        <f t="shared" si="1"/>
        <v>20418</v>
      </c>
    </row>
    <row r="18" spans="1:16" ht="18.75" customHeight="1">
      <c r="A18" s="521" t="s">
        <v>68</v>
      </c>
      <c r="B18" s="508">
        <v>0</v>
      </c>
      <c r="C18" s="508">
        <v>0</v>
      </c>
      <c r="D18" s="508">
        <v>140</v>
      </c>
      <c r="E18" s="508">
        <f t="shared" si="0"/>
        <v>36</v>
      </c>
      <c r="F18" s="529">
        <v>0</v>
      </c>
      <c r="G18" s="529"/>
      <c r="H18" s="529">
        <v>0</v>
      </c>
      <c r="I18" s="529">
        <v>0</v>
      </c>
      <c r="J18" s="529">
        <v>0</v>
      </c>
      <c r="K18" s="529">
        <v>12</v>
      </c>
      <c r="L18" s="529">
        <v>0</v>
      </c>
      <c r="M18" s="529">
        <v>0</v>
      </c>
      <c r="N18" s="529">
        <v>8</v>
      </c>
      <c r="O18" s="529">
        <v>16</v>
      </c>
      <c r="P18" s="519">
        <f t="shared" si="1"/>
        <v>176</v>
      </c>
    </row>
    <row r="19" spans="1:16" ht="18.75" customHeight="1">
      <c r="A19" s="507" t="s">
        <v>1</v>
      </c>
      <c r="B19" s="508">
        <v>0</v>
      </c>
      <c r="C19" s="508">
        <v>0</v>
      </c>
      <c r="D19" s="508">
        <v>246</v>
      </c>
      <c r="E19" s="508">
        <f t="shared" si="0"/>
        <v>0</v>
      </c>
      <c r="F19" s="529">
        <v>0</v>
      </c>
      <c r="G19" s="529"/>
      <c r="H19" s="529">
        <v>0</v>
      </c>
      <c r="I19" s="529">
        <v>0</v>
      </c>
      <c r="J19" s="529">
        <v>0</v>
      </c>
      <c r="K19" s="529">
        <v>0</v>
      </c>
      <c r="L19" s="529">
        <v>0</v>
      </c>
      <c r="M19" s="529">
        <v>0</v>
      </c>
      <c r="N19" s="529">
        <v>0</v>
      </c>
      <c r="O19" s="529">
        <v>0</v>
      </c>
      <c r="P19" s="519">
        <f t="shared" si="1"/>
        <v>246</v>
      </c>
    </row>
    <row r="20" spans="1:16" ht="18.75" customHeight="1">
      <c r="A20" s="507" t="s">
        <v>33</v>
      </c>
      <c r="B20" s="508">
        <v>0</v>
      </c>
      <c r="C20" s="508">
        <v>0</v>
      </c>
      <c r="D20" s="508">
        <v>351</v>
      </c>
      <c r="E20" s="508">
        <f t="shared" si="0"/>
        <v>635</v>
      </c>
      <c r="F20" s="529">
        <v>0</v>
      </c>
      <c r="G20" s="529"/>
      <c r="H20" s="529">
        <v>94</v>
      </c>
      <c r="I20" s="529">
        <v>94</v>
      </c>
      <c r="J20" s="529">
        <v>94</v>
      </c>
      <c r="K20" s="529">
        <v>24</v>
      </c>
      <c r="L20" s="529">
        <v>94</v>
      </c>
      <c r="M20" s="529">
        <v>94</v>
      </c>
      <c r="N20" s="529">
        <v>47</v>
      </c>
      <c r="O20" s="529">
        <v>94</v>
      </c>
      <c r="P20" s="519">
        <f t="shared" si="1"/>
        <v>986</v>
      </c>
    </row>
    <row r="21" spans="1:16" ht="18.75" customHeight="1" thickBot="1">
      <c r="A21" s="512" t="s">
        <v>5</v>
      </c>
      <c r="B21" s="513">
        <v>0</v>
      </c>
      <c r="C21" s="513">
        <v>0</v>
      </c>
      <c r="D21" s="513">
        <v>1003</v>
      </c>
      <c r="E21" s="513">
        <f t="shared" si="0"/>
        <v>336</v>
      </c>
      <c r="F21" s="531">
        <v>0</v>
      </c>
      <c r="G21" s="531"/>
      <c r="H21" s="531">
        <v>0</v>
      </c>
      <c r="I21" s="531">
        <v>168</v>
      </c>
      <c r="J21" s="531">
        <v>0</v>
      </c>
      <c r="K21" s="531">
        <v>0</v>
      </c>
      <c r="L21" s="531">
        <v>0</v>
      </c>
      <c r="M21" s="531">
        <v>0</v>
      </c>
      <c r="N21" s="531">
        <v>0</v>
      </c>
      <c r="O21" s="531">
        <v>168</v>
      </c>
      <c r="P21" s="520">
        <f t="shared" si="1"/>
        <v>1339</v>
      </c>
    </row>
    <row r="22" spans="1:16" ht="20.25" customHeight="1" thickBot="1">
      <c r="A22" s="514" t="s">
        <v>293</v>
      </c>
      <c r="B22" s="515">
        <f>SUM(B9:B21)</f>
        <v>1172</v>
      </c>
      <c r="C22" s="515">
        <f>SUM(C9:C21)</f>
        <v>0</v>
      </c>
      <c r="D22" s="516">
        <f>SUM(D9:D21)</f>
        <v>16452</v>
      </c>
      <c r="E22" s="515">
        <f>SUM(E9:E21)</f>
        <v>17580</v>
      </c>
      <c r="F22" s="532">
        <f aca="true" t="shared" si="2" ref="F22:O22">SUM(F9:F21)</f>
        <v>2052</v>
      </c>
      <c r="G22" s="532">
        <f t="shared" si="2"/>
        <v>580</v>
      </c>
      <c r="H22" s="532">
        <f t="shared" si="2"/>
        <v>2885</v>
      </c>
      <c r="I22" s="532">
        <f t="shared" si="2"/>
        <v>1808</v>
      </c>
      <c r="J22" s="532">
        <f t="shared" si="2"/>
        <v>662</v>
      </c>
      <c r="K22" s="532">
        <f t="shared" si="2"/>
        <v>549</v>
      </c>
      <c r="L22" s="532">
        <f t="shared" si="2"/>
        <v>2128</v>
      </c>
      <c r="M22" s="532">
        <f t="shared" si="2"/>
        <v>1291</v>
      </c>
      <c r="N22" s="532">
        <f t="shared" si="2"/>
        <v>2081</v>
      </c>
      <c r="O22" s="532">
        <f t="shared" si="2"/>
        <v>3544</v>
      </c>
      <c r="P22" s="517">
        <f>SUM(B22:E22)</f>
        <v>35204</v>
      </c>
    </row>
    <row r="24" ht="12.75">
      <c r="P24" s="6"/>
    </row>
  </sheetData>
  <sheetProtection/>
  <mergeCells count="9">
    <mergeCell ref="P7:P8"/>
    <mergeCell ref="A3:P3"/>
    <mergeCell ref="A5:P5"/>
    <mergeCell ref="A7:A8"/>
    <mergeCell ref="B7:B8"/>
    <mergeCell ref="C7:C8"/>
    <mergeCell ref="D7:D8"/>
    <mergeCell ref="E7:E8"/>
    <mergeCell ref="F7:O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Y73"/>
  <sheetViews>
    <sheetView view="pageBreakPreview" zoomScaleSheetLayoutView="100" zoomScalePageLayoutView="0" workbookViewId="0" topLeftCell="A1">
      <pane xSplit="2" ySplit="7" topLeftCell="C6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8" sqref="B68:D69"/>
    </sheetView>
  </sheetViews>
  <sheetFormatPr defaultColWidth="9.140625" defaultRowHeight="12.75"/>
  <cols>
    <col min="1" max="1" width="7.421875" style="72" customWidth="1"/>
    <col min="2" max="2" width="69.00390625" style="83" customWidth="1"/>
    <col min="3" max="3" width="10.28125" style="10" customWidth="1"/>
    <col min="4" max="4" width="12.7109375" style="72" customWidth="1"/>
    <col min="5" max="5" width="15.140625" style="72" customWidth="1"/>
    <col min="6" max="6" width="12.28125" style="72" customWidth="1"/>
    <col min="7" max="7" width="12.57421875" style="73" customWidth="1"/>
    <col min="8" max="8" width="10.421875" style="72" customWidth="1"/>
    <col min="9" max="9" width="13.57421875" style="72" customWidth="1"/>
    <col min="10" max="10" width="11.57421875" style="72" customWidth="1"/>
    <col min="11" max="12" width="10.00390625" style="72" customWidth="1"/>
    <col min="13" max="13" width="12.00390625" style="72" customWidth="1"/>
    <col min="14" max="15" width="12.00390625" style="72" bestFit="1" customWidth="1"/>
    <col min="16" max="16" width="12.421875" style="72" customWidth="1"/>
    <col min="17" max="17" width="11.140625" style="72" bestFit="1" customWidth="1"/>
    <col min="18" max="18" width="9.140625" style="72" customWidth="1"/>
    <col min="19" max="19" width="10.00390625" style="72" bestFit="1" customWidth="1"/>
    <col min="20" max="16384" width="9.140625" style="72" customWidth="1"/>
  </cols>
  <sheetData>
    <row r="1" spans="10:13" ht="15.75">
      <c r="J1" s="646" t="s">
        <v>405</v>
      </c>
      <c r="K1" s="646"/>
      <c r="L1" s="646"/>
      <c r="M1" s="646"/>
    </row>
    <row r="3" spans="1:13" ht="29.25" customHeight="1">
      <c r="A3" s="629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</row>
    <row r="4" spans="1:13" ht="32.25" customHeight="1">
      <c r="A4" s="645" t="s">
        <v>406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</row>
    <row r="6" spans="1:13" ht="51" customHeight="1">
      <c r="A6" s="101"/>
      <c r="B6" s="88" t="s">
        <v>107</v>
      </c>
      <c r="C6" s="102" t="s">
        <v>65</v>
      </c>
      <c r="D6" s="103" t="s">
        <v>42</v>
      </c>
      <c r="E6" s="103" t="s">
        <v>55</v>
      </c>
      <c r="F6" s="103" t="s">
        <v>41</v>
      </c>
      <c r="G6" s="103" t="s">
        <v>223</v>
      </c>
      <c r="H6" s="103" t="s">
        <v>108</v>
      </c>
      <c r="I6" s="103" t="s">
        <v>116</v>
      </c>
      <c r="J6" s="103" t="s">
        <v>334</v>
      </c>
      <c r="K6" s="103" t="s">
        <v>243</v>
      </c>
      <c r="L6" s="103" t="s">
        <v>446</v>
      </c>
      <c r="M6" s="103" t="s">
        <v>200</v>
      </c>
    </row>
    <row r="7" spans="1:13" ht="15">
      <c r="A7" s="101">
        <v>1</v>
      </c>
      <c r="B7" s="225">
        <v>2</v>
      </c>
      <c r="C7" s="224">
        <v>3</v>
      </c>
      <c r="D7" s="103">
        <v>4</v>
      </c>
      <c r="E7" s="103">
        <v>5</v>
      </c>
      <c r="F7" s="103">
        <v>6</v>
      </c>
      <c r="G7" s="103">
        <v>7</v>
      </c>
      <c r="H7" s="103">
        <v>8</v>
      </c>
      <c r="I7" s="224">
        <v>9</v>
      </c>
      <c r="J7" s="224">
        <v>10</v>
      </c>
      <c r="K7" s="224">
        <v>11</v>
      </c>
      <c r="L7" s="224">
        <v>12</v>
      </c>
      <c r="M7" s="224">
        <v>13</v>
      </c>
    </row>
    <row r="8" spans="1:18" ht="18" customHeight="1">
      <c r="A8" s="104">
        <v>1</v>
      </c>
      <c r="B8" s="311" t="s">
        <v>203</v>
      </c>
      <c r="C8" s="99">
        <f aca="true" t="shared" si="0" ref="C8:C29">SUM(D8:M8)</f>
        <v>7321</v>
      </c>
      <c r="D8" s="100">
        <f aca="true" t="shared" si="1" ref="D8:M8">SUM(D9:D10)</f>
        <v>5991</v>
      </c>
      <c r="E8" s="100">
        <f t="shared" si="1"/>
        <v>1330</v>
      </c>
      <c r="F8" s="100">
        <f t="shared" si="1"/>
        <v>0</v>
      </c>
      <c r="G8" s="100">
        <f t="shared" si="1"/>
        <v>0</v>
      </c>
      <c r="H8" s="100">
        <f t="shared" si="1"/>
        <v>0</v>
      </c>
      <c r="I8" s="100">
        <f t="shared" si="1"/>
        <v>0</v>
      </c>
      <c r="J8" s="100">
        <f t="shared" si="1"/>
        <v>0</v>
      </c>
      <c r="K8" s="100">
        <f t="shared" si="1"/>
        <v>0</v>
      </c>
      <c r="L8" s="100">
        <f t="shared" si="1"/>
        <v>0</v>
      </c>
      <c r="M8" s="100">
        <f t="shared" si="1"/>
        <v>0</v>
      </c>
      <c r="O8" s="378">
        <f>SUM(O9:O10)</f>
        <v>52105.084149999995</v>
      </c>
      <c r="P8" s="378">
        <f>SUM(P9:P10)</f>
        <v>9430.5645</v>
      </c>
      <c r="R8" s="109"/>
    </row>
    <row r="9" spans="1:18" ht="15" customHeight="1">
      <c r="A9" s="75" t="s">
        <v>88</v>
      </c>
      <c r="B9" s="84" t="s">
        <v>89</v>
      </c>
      <c r="C9" s="79">
        <f t="shared" si="0"/>
        <v>5396</v>
      </c>
      <c r="D9" s="77">
        <v>4066</v>
      </c>
      <c r="E9" s="77">
        <v>1330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2">
        <v>7090.65</v>
      </c>
      <c r="O9" s="378">
        <f>N9*D9/1000</f>
        <v>28830.582899999998</v>
      </c>
      <c r="P9" s="378">
        <f>E9*N9/1000</f>
        <v>9430.5645</v>
      </c>
      <c r="R9" s="109"/>
    </row>
    <row r="10" spans="1:18" ht="15" customHeight="1">
      <c r="A10" s="75" t="s">
        <v>90</v>
      </c>
      <c r="B10" s="85" t="s">
        <v>91</v>
      </c>
      <c r="C10" s="79">
        <f t="shared" si="0"/>
        <v>1925</v>
      </c>
      <c r="D10" s="77">
        <v>1925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2">
        <v>12090.65</v>
      </c>
      <c r="O10" s="378">
        <f>N10*D10/1000</f>
        <v>23274.50125</v>
      </c>
      <c r="P10" s="378">
        <f>E10*N10/1000</f>
        <v>0</v>
      </c>
      <c r="R10" s="109"/>
    </row>
    <row r="11" spans="1:18" s="76" customFormat="1" ht="15" customHeight="1">
      <c r="A11" s="75" t="s">
        <v>92</v>
      </c>
      <c r="B11" s="85" t="s">
        <v>93</v>
      </c>
      <c r="C11" s="79">
        <f t="shared" si="0"/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R11" s="109"/>
    </row>
    <row r="12" spans="1:25" s="76" customFormat="1" ht="18.75" customHeight="1">
      <c r="A12" s="94">
        <v>2</v>
      </c>
      <c r="B12" s="312" t="s">
        <v>204</v>
      </c>
      <c r="C12" s="99">
        <f t="shared" si="0"/>
        <v>2856</v>
      </c>
      <c r="D12" s="100">
        <f>SUM(D13:D15)</f>
        <v>2666</v>
      </c>
      <c r="E12" s="100">
        <f aca="true" t="shared" si="2" ref="E12:L12">SUM(E13:E15)</f>
        <v>0</v>
      </c>
      <c r="F12" s="100">
        <f t="shared" si="2"/>
        <v>0</v>
      </c>
      <c r="G12" s="100">
        <f t="shared" si="2"/>
        <v>0</v>
      </c>
      <c r="H12" s="100">
        <f t="shared" si="2"/>
        <v>190</v>
      </c>
      <c r="I12" s="100">
        <f t="shared" si="2"/>
        <v>0</v>
      </c>
      <c r="J12" s="100">
        <f t="shared" si="2"/>
        <v>0</v>
      </c>
      <c r="K12" s="100">
        <f t="shared" si="2"/>
        <v>0</v>
      </c>
      <c r="L12" s="100">
        <f t="shared" si="2"/>
        <v>0</v>
      </c>
      <c r="M12" s="100">
        <f>SUM(M13:M15)</f>
        <v>0</v>
      </c>
      <c r="O12" s="378">
        <f>SUM(O13:O14)</f>
        <v>33760.4855</v>
      </c>
      <c r="P12" s="378">
        <f>SUM(P13:P14)</f>
        <v>2371.6325</v>
      </c>
      <c r="R12" s="109"/>
      <c r="S12" s="379"/>
      <c r="T12" s="379"/>
      <c r="U12" s="379"/>
      <c r="V12" s="379"/>
      <c r="W12" s="378"/>
      <c r="X12" s="378"/>
      <c r="Y12" s="378"/>
    </row>
    <row r="13" spans="1:25" s="76" customFormat="1" ht="15.75" customHeight="1">
      <c r="A13" s="75" t="s">
        <v>94</v>
      </c>
      <c r="B13" s="85" t="s">
        <v>89</v>
      </c>
      <c r="C13" s="79">
        <f t="shared" si="0"/>
        <v>2068</v>
      </c>
      <c r="D13" s="543">
        <v>1924</v>
      </c>
      <c r="E13" s="77">
        <v>0</v>
      </c>
      <c r="F13" s="77">
        <v>0</v>
      </c>
      <c r="G13" s="77">
        <v>0</v>
      </c>
      <c r="H13" s="77">
        <f>79+25+40</f>
        <v>144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6">
        <v>11271.75</v>
      </c>
      <c r="O13" s="378">
        <f>N13*D13/1000</f>
        <v>21686.847</v>
      </c>
      <c r="P13" s="378">
        <f>H13*N13/1000</f>
        <v>1623.132</v>
      </c>
      <c r="R13" s="109"/>
      <c r="S13" s="379"/>
      <c r="T13" s="379"/>
      <c r="U13" s="379"/>
      <c r="V13" s="379"/>
      <c r="W13" s="379"/>
      <c r="Y13" s="378"/>
    </row>
    <row r="14" spans="1:25" ht="15.75" customHeight="1">
      <c r="A14" s="75" t="s">
        <v>95</v>
      </c>
      <c r="B14" s="85" t="s">
        <v>91</v>
      </c>
      <c r="C14" s="79">
        <f t="shared" si="0"/>
        <v>788</v>
      </c>
      <c r="D14" s="543">
        <v>742</v>
      </c>
      <c r="E14" s="77">
        <v>0</v>
      </c>
      <c r="F14" s="77">
        <v>0</v>
      </c>
      <c r="G14" s="77">
        <v>0</v>
      </c>
      <c r="H14" s="77">
        <f>21+25</f>
        <v>46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2">
        <v>16271.75</v>
      </c>
      <c r="O14" s="378">
        <f>N14*D14/1000</f>
        <v>12073.6385</v>
      </c>
      <c r="P14" s="378">
        <f>H14*N14/1000</f>
        <v>748.5005</v>
      </c>
      <c r="R14" s="109"/>
      <c r="S14" s="380"/>
      <c r="T14" s="380"/>
      <c r="U14" s="380"/>
      <c r="V14" s="380"/>
      <c r="W14" s="379"/>
      <c r="Y14" s="378"/>
    </row>
    <row r="15" spans="1:18" s="76" customFormat="1" ht="15.75" customHeight="1">
      <c r="A15" s="75" t="s">
        <v>96</v>
      </c>
      <c r="B15" s="85" t="s">
        <v>93</v>
      </c>
      <c r="C15" s="79">
        <f t="shared" si="0"/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R15" s="109"/>
    </row>
    <row r="16" spans="1:18" s="76" customFormat="1" ht="19.5" customHeight="1">
      <c r="A16" s="98">
        <v>3</v>
      </c>
      <c r="B16" s="312" t="s">
        <v>469</v>
      </c>
      <c r="C16" s="99">
        <f t="shared" si="0"/>
        <v>6142</v>
      </c>
      <c r="D16" s="100">
        <f aca="true" t="shared" si="3" ref="D16:M16">SUM(D17:D20)</f>
        <v>1405</v>
      </c>
      <c r="E16" s="100">
        <f t="shared" si="3"/>
        <v>1157</v>
      </c>
      <c r="F16" s="100">
        <f t="shared" si="3"/>
        <v>1450</v>
      </c>
      <c r="G16" s="100">
        <f t="shared" si="3"/>
        <v>2130</v>
      </c>
      <c r="H16" s="100">
        <f t="shared" si="3"/>
        <v>0</v>
      </c>
      <c r="I16" s="100">
        <f t="shared" si="3"/>
        <v>0</v>
      </c>
      <c r="J16" s="100">
        <f t="shared" si="3"/>
        <v>0</v>
      </c>
      <c r="K16" s="100">
        <f t="shared" si="3"/>
        <v>0</v>
      </c>
      <c r="L16" s="100">
        <f t="shared" si="3"/>
        <v>0</v>
      </c>
      <c r="M16" s="100">
        <f t="shared" si="3"/>
        <v>0</v>
      </c>
      <c r="O16" s="560">
        <f>SUM(O17:O20)</f>
        <v>3799.9512999999997</v>
      </c>
      <c r="P16" s="560">
        <f>SUM(P17:P20)</f>
        <v>3712.9066</v>
      </c>
      <c r="Q16" s="560">
        <f>SUM(Q17:Q20)</f>
        <v>3129.97</v>
      </c>
      <c r="R16" s="560">
        <f>SUM(R17:R20)</f>
        <v>5259.0162</v>
      </c>
    </row>
    <row r="17" spans="1:18" s="76" customFormat="1" ht="14.25" customHeight="1">
      <c r="A17" s="466" t="s">
        <v>97</v>
      </c>
      <c r="B17" s="86" t="s">
        <v>168</v>
      </c>
      <c r="C17" s="79">
        <f t="shared" si="0"/>
        <v>2471</v>
      </c>
      <c r="D17" s="7">
        <f>650+67</f>
        <v>717</v>
      </c>
      <c r="E17" s="7">
        <v>1136</v>
      </c>
      <c r="F17" s="7">
        <v>0</v>
      </c>
      <c r="G17" s="113">
        <v>618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6">
        <v>3228.5</v>
      </c>
      <c r="O17" s="378">
        <f>N17*D17/1000</f>
        <v>2314.8345</v>
      </c>
      <c r="P17" s="378">
        <f>E17*N17/1000</f>
        <v>3667.576</v>
      </c>
      <c r="Q17" s="378">
        <f>F17*N17/1000</f>
        <v>0</v>
      </c>
      <c r="R17" s="109">
        <f>G17*N17/1000</f>
        <v>1995.213</v>
      </c>
    </row>
    <row r="18" spans="1:18" ht="14.25" customHeight="1">
      <c r="A18" s="466" t="s">
        <v>98</v>
      </c>
      <c r="B18" s="86" t="s">
        <v>151</v>
      </c>
      <c r="C18" s="79">
        <f t="shared" si="0"/>
        <v>375</v>
      </c>
      <c r="D18" s="7">
        <v>363</v>
      </c>
      <c r="E18" s="7"/>
      <c r="F18" s="7">
        <v>0</v>
      </c>
      <c r="G18" s="113">
        <v>12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2">
        <v>2158.6</v>
      </c>
      <c r="O18" s="378">
        <f>N18*D18/1000</f>
        <v>783.5717999999999</v>
      </c>
      <c r="P18" s="378">
        <f>E18*N18/1000</f>
        <v>0</v>
      </c>
      <c r="Q18" s="378">
        <f>F18*N18/1000</f>
        <v>0</v>
      </c>
      <c r="R18" s="109">
        <f>G18*N18/1000</f>
        <v>25.9032</v>
      </c>
    </row>
    <row r="19" spans="1:18" ht="14.25" customHeight="1">
      <c r="A19" s="466" t="s">
        <v>99</v>
      </c>
      <c r="B19" s="86" t="s">
        <v>152</v>
      </c>
      <c r="C19" s="79">
        <f t="shared" si="0"/>
        <v>3296</v>
      </c>
      <c r="D19" s="7">
        <v>325</v>
      </c>
      <c r="E19" s="7">
        <v>21</v>
      </c>
      <c r="F19" s="7">
        <v>1450</v>
      </c>
      <c r="G19" s="113">
        <v>1500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2">
        <v>2158.6</v>
      </c>
      <c r="O19" s="378">
        <f>N19*D19/1000</f>
        <v>701.545</v>
      </c>
      <c r="P19" s="378">
        <f>E19*N19/1000</f>
        <v>45.3306</v>
      </c>
      <c r="Q19" s="378">
        <f>F19*N19/1000</f>
        <v>3129.97</v>
      </c>
      <c r="R19" s="109">
        <f>G19*N19/1000</f>
        <v>3237.9</v>
      </c>
    </row>
    <row r="20" spans="1:18" ht="14.25" customHeight="1">
      <c r="A20" s="74" t="s">
        <v>100</v>
      </c>
      <c r="B20" s="86" t="s">
        <v>93</v>
      </c>
      <c r="C20" s="79">
        <f t="shared" si="0"/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R20" s="109"/>
    </row>
    <row r="21" spans="1:18" ht="19.5" customHeight="1">
      <c r="A21" s="94">
        <v>4</v>
      </c>
      <c r="B21" s="311" t="s">
        <v>202</v>
      </c>
      <c r="C21" s="99">
        <f t="shared" si="0"/>
        <v>5490</v>
      </c>
      <c r="D21" s="100">
        <f>SUM(D22:D29)</f>
        <v>5385</v>
      </c>
      <c r="E21" s="100">
        <f>SUM(E22:E29)</f>
        <v>105</v>
      </c>
      <c r="F21" s="100">
        <f>SUM(F22:F29)</f>
        <v>0</v>
      </c>
      <c r="G21" s="100">
        <f>SUM(G22:G29)</f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O21" s="559">
        <f>SUM(O22:O29)</f>
        <v>17771.0171</v>
      </c>
      <c r="P21" s="559">
        <f>SUM(P22:P29)</f>
        <v>299.16540000000003</v>
      </c>
      <c r="R21" s="109"/>
    </row>
    <row r="22" spans="1:18" s="114" customFormat="1" ht="15.75">
      <c r="A22" s="110" t="s">
        <v>160</v>
      </c>
      <c r="B22" s="111" t="s">
        <v>153</v>
      </c>
      <c r="C22" s="79">
        <f t="shared" si="0"/>
        <v>373</v>
      </c>
      <c r="D22" s="113">
        <v>373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4">
        <v>2916.9</v>
      </c>
      <c r="O22" s="378">
        <f aca="true" t="shared" si="4" ref="O22:O29">N22*D22/1000</f>
        <v>1088.0037</v>
      </c>
      <c r="P22" s="378">
        <f aca="true" t="shared" si="5" ref="P22:P29">E22*N22/1000</f>
        <v>0</v>
      </c>
      <c r="R22" s="109"/>
    </row>
    <row r="23" spans="1:18" s="114" customFormat="1" ht="15.75">
      <c r="A23" s="110" t="s">
        <v>161</v>
      </c>
      <c r="B23" s="111" t="s">
        <v>154</v>
      </c>
      <c r="C23" s="79">
        <f t="shared" si="0"/>
        <v>3808</v>
      </c>
      <c r="D23" s="113">
        <f>3808-E23</f>
        <v>3704</v>
      </c>
      <c r="E23" s="113">
        <v>104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4">
        <v>2830.9</v>
      </c>
      <c r="O23" s="378">
        <f t="shared" si="4"/>
        <v>10485.6536</v>
      </c>
      <c r="P23" s="378">
        <f t="shared" si="5"/>
        <v>294.41360000000003</v>
      </c>
      <c r="R23" s="109"/>
    </row>
    <row r="24" spans="1:18" s="114" customFormat="1" ht="15.75">
      <c r="A24" s="110" t="s">
        <v>162</v>
      </c>
      <c r="B24" s="111" t="s">
        <v>155</v>
      </c>
      <c r="C24" s="79">
        <f t="shared" si="0"/>
        <v>0</v>
      </c>
      <c r="D24" s="113">
        <v>0</v>
      </c>
      <c r="E24" s="113"/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O24" s="378">
        <f t="shared" si="4"/>
        <v>0</v>
      </c>
      <c r="P24" s="378">
        <f t="shared" si="5"/>
        <v>0</v>
      </c>
      <c r="R24" s="109"/>
    </row>
    <row r="25" spans="1:18" s="114" customFormat="1" ht="15.75">
      <c r="A25" s="110" t="s">
        <v>163</v>
      </c>
      <c r="B25" s="111" t="s">
        <v>156</v>
      </c>
      <c r="C25" s="79">
        <f t="shared" si="0"/>
        <v>1301</v>
      </c>
      <c r="D25" s="113">
        <v>1300</v>
      </c>
      <c r="E25" s="113">
        <v>1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4">
        <v>4751.8</v>
      </c>
      <c r="O25" s="378">
        <f t="shared" si="4"/>
        <v>6177.34</v>
      </c>
      <c r="P25" s="378">
        <f t="shared" si="5"/>
        <v>4.7518</v>
      </c>
      <c r="R25" s="109"/>
    </row>
    <row r="26" spans="1:18" s="114" customFormat="1" ht="15.75">
      <c r="A26" s="110" t="s">
        <v>164</v>
      </c>
      <c r="B26" s="111" t="s">
        <v>157</v>
      </c>
      <c r="C26" s="79">
        <f t="shared" si="0"/>
        <v>1</v>
      </c>
      <c r="D26" s="113">
        <v>1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4">
        <v>3098</v>
      </c>
      <c r="O26" s="378">
        <f t="shared" si="4"/>
        <v>3.098</v>
      </c>
      <c r="P26" s="378">
        <f t="shared" si="5"/>
        <v>0</v>
      </c>
      <c r="R26" s="109"/>
    </row>
    <row r="27" spans="1:18" s="114" customFormat="1" ht="15.75">
      <c r="A27" s="110" t="s">
        <v>165</v>
      </c>
      <c r="B27" s="111" t="s">
        <v>158</v>
      </c>
      <c r="C27" s="79">
        <f t="shared" si="0"/>
        <v>0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O27" s="378">
        <f t="shared" si="4"/>
        <v>0</v>
      </c>
      <c r="P27" s="378">
        <f t="shared" si="5"/>
        <v>0</v>
      </c>
      <c r="R27" s="109"/>
    </row>
    <row r="28" spans="1:18" s="114" customFormat="1" ht="15.75">
      <c r="A28" s="110" t="s">
        <v>166</v>
      </c>
      <c r="B28" s="111" t="s">
        <v>159</v>
      </c>
      <c r="C28" s="79">
        <f t="shared" si="0"/>
        <v>0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O28" s="378">
        <f t="shared" si="4"/>
        <v>0</v>
      </c>
      <c r="P28" s="378">
        <f t="shared" si="5"/>
        <v>0</v>
      </c>
      <c r="R28" s="109"/>
    </row>
    <row r="29" spans="1:18" s="114" customFormat="1" ht="15.75">
      <c r="A29" s="110" t="s">
        <v>167</v>
      </c>
      <c r="B29" s="111" t="s">
        <v>93</v>
      </c>
      <c r="C29" s="79">
        <f t="shared" si="0"/>
        <v>7</v>
      </c>
      <c r="D29" s="113">
        <v>7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4">
        <v>2417.4</v>
      </c>
      <c r="O29" s="378">
        <f t="shared" si="4"/>
        <v>16.921799999999998</v>
      </c>
      <c r="P29" s="378">
        <f t="shared" si="5"/>
        <v>0</v>
      </c>
      <c r="R29" s="109"/>
    </row>
    <row r="30" spans="1:18" ht="26.25" customHeight="1">
      <c r="A30" s="94">
        <v>5</v>
      </c>
      <c r="B30" s="311" t="s">
        <v>472</v>
      </c>
      <c r="C30" s="99">
        <f>SUM(D30:M30)</f>
        <v>131</v>
      </c>
      <c r="D30" s="100">
        <f aca="true" t="shared" si="6" ref="D30:K30">SUM(D31:D41)</f>
        <v>0</v>
      </c>
      <c r="E30" s="100">
        <f t="shared" si="6"/>
        <v>0</v>
      </c>
      <c r="F30" s="100">
        <f t="shared" si="6"/>
        <v>0</v>
      </c>
      <c r="G30" s="100">
        <f t="shared" si="6"/>
        <v>0</v>
      </c>
      <c r="H30" s="100">
        <f t="shared" si="6"/>
        <v>0</v>
      </c>
      <c r="I30" s="100">
        <f t="shared" si="6"/>
        <v>0</v>
      </c>
      <c r="J30" s="100">
        <f t="shared" si="6"/>
        <v>0</v>
      </c>
      <c r="K30" s="100">
        <f t="shared" si="6"/>
        <v>0</v>
      </c>
      <c r="L30" s="100">
        <f>SUM(L31:L41)</f>
        <v>34</v>
      </c>
      <c r="M30" s="100">
        <f>SUM(M31:M41)</f>
        <v>97</v>
      </c>
      <c r="P30" s="109"/>
      <c r="R30" s="109"/>
    </row>
    <row r="31" spans="1:18" ht="15.75" customHeight="1">
      <c r="A31" s="81" t="s">
        <v>101</v>
      </c>
      <c r="B31" s="85" t="s">
        <v>450</v>
      </c>
      <c r="C31" s="80">
        <v>42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12</v>
      </c>
      <c r="M31" s="544">
        <f aca="true" t="shared" si="7" ref="M31:M41">C31-L31</f>
        <v>30</v>
      </c>
      <c r="R31" s="109"/>
    </row>
    <row r="32" spans="1:18" ht="15.75" customHeight="1">
      <c r="A32" s="81" t="s">
        <v>102</v>
      </c>
      <c r="B32" s="85" t="s">
        <v>451</v>
      </c>
      <c r="C32" s="80">
        <v>9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2</v>
      </c>
      <c r="M32" s="544">
        <f t="shared" si="7"/>
        <v>7</v>
      </c>
      <c r="R32" s="109"/>
    </row>
    <row r="33" spans="1:18" s="76" customFormat="1" ht="15.75" customHeight="1">
      <c r="A33" s="81" t="s">
        <v>103</v>
      </c>
      <c r="B33" s="85" t="s">
        <v>452</v>
      </c>
      <c r="C33" s="80">
        <v>13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5</v>
      </c>
      <c r="M33" s="544">
        <f t="shared" si="7"/>
        <v>8</v>
      </c>
      <c r="R33" s="109"/>
    </row>
    <row r="34" spans="1:18" s="76" customFormat="1" ht="15.75" customHeight="1">
      <c r="A34" s="81" t="s">
        <v>104</v>
      </c>
      <c r="B34" s="85" t="s">
        <v>453</v>
      </c>
      <c r="C34" s="80">
        <v>28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6</v>
      </c>
      <c r="M34" s="544">
        <f t="shared" si="7"/>
        <v>22</v>
      </c>
      <c r="R34" s="109"/>
    </row>
    <row r="35" spans="1:18" s="76" customFormat="1" ht="15.75" customHeight="1">
      <c r="A35" s="81" t="s">
        <v>105</v>
      </c>
      <c r="B35" s="85" t="s">
        <v>454</v>
      </c>
      <c r="C35" s="80">
        <v>4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f>ROUND(C35/131*31,0)</f>
        <v>1</v>
      </c>
      <c r="M35" s="544">
        <f t="shared" si="7"/>
        <v>3</v>
      </c>
      <c r="R35" s="109"/>
    </row>
    <row r="36" spans="1:18" s="76" customFormat="1" ht="25.5" customHeight="1">
      <c r="A36" s="81" t="s">
        <v>106</v>
      </c>
      <c r="B36" s="84" t="s">
        <v>455</v>
      </c>
      <c r="C36" s="80">
        <v>21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5</v>
      </c>
      <c r="M36" s="544">
        <f t="shared" si="7"/>
        <v>16</v>
      </c>
      <c r="R36" s="109"/>
    </row>
    <row r="37" spans="1:18" s="76" customFormat="1" ht="25.5" customHeight="1">
      <c r="A37" s="81" t="s">
        <v>447</v>
      </c>
      <c r="B37" s="84" t="s">
        <v>456</v>
      </c>
      <c r="C37" s="80">
        <v>9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f>ROUND(C37/131*31,0)</f>
        <v>2</v>
      </c>
      <c r="M37" s="544">
        <f t="shared" si="7"/>
        <v>7</v>
      </c>
      <c r="R37" s="109"/>
    </row>
    <row r="38" spans="1:18" s="76" customFormat="1" ht="15.75" customHeight="1">
      <c r="A38" s="81" t="s">
        <v>448</v>
      </c>
      <c r="B38" s="84" t="s">
        <v>457</v>
      </c>
      <c r="C38" s="80">
        <v>4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f>ROUND(C38/131*31,0)</f>
        <v>1</v>
      </c>
      <c r="M38" s="544">
        <f t="shared" si="7"/>
        <v>3</v>
      </c>
      <c r="R38" s="109"/>
    </row>
    <row r="39" spans="1:18" s="76" customFormat="1" ht="26.25" customHeight="1">
      <c r="A39" s="81" t="s">
        <v>449</v>
      </c>
      <c r="B39" s="84" t="s">
        <v>458</v>
      </c>
      <c r="C39" s="80">
        <v>1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544">
        <f t="shared" si="7"/>
        <v>1</v>
      </c>
      <c r="R39" s="109"/>
    </row>
    <row r="40" spans="1:18" s="76" customFormat="1" ht="27" customHeight="1">
      <c r="A40" s="81" t="s">
        <v>459</v>
      </c>
      <c r="B40" s="84" t="s">
        <v>461</v>
      </c>
      <c r="C40" s="80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/>
      <c r="M40" s="544">
        <f t="shared" si="7"/>
        <v>0</v>
      </c>
      <c r="R40" s="109"/>
    </row>
    <row r="41" spans="1:18" s="76" customFormat="1" ht="15.75">
      <c r="A41" s="81" t="s">
        <v>460</v>
      </c>
      <c r="B41" s="84" t="s">
        <v>93</v>
      </c>
      <c r="C41" s="80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/>
      <c r="M41" s="544">
        <f t="shared" si="7"/>
        <v>0</v>
      </c>
      <c r="R41" s="109"/>
    </row>
    <row r="42" spans="1:18" s="76" customFormat="1" ht="41.25" customHeight="1">
      <c r="A42" s="98">
        <v>6</v>
      </c>
      <c r="B42" s="311" t="s">
        <v>189</v>
      </c>
      <c r="C42" s="99">
        <f aca="true" t="shared" si="8" ref="C42:C72">SUM(D42:M42)</f>
        <v>1777</v>
      </c>
      <c r="D42" s="97">
        <v>1777</v>
      </c>
      <c r="E42" s="96">
        <v>0</v>
      </c>
      <c r="F42" s="96">
        <v>0</v>
      </c>
      <c r="G42" s="97">
        <v>0</v>
      </c>
      <c r="H42" s="96">
        <v>0</v>
      </c>
      <c r="I42" s="96">
        <v>0</v>
      </c>
      <c r="J42" s="96">
        <v>0</v>
      </c>
      <c r="K42" s="96">
        <v>0</v>
      </c>
      <c r="L42" s="96">
        <v>0</v>
      </c>
      <c r="M42" s="96">
        <v>0</v>
      </c>
      <c r="R42" s="109"/>
    </row>
    <row r="43" spans="1:18" s="76" customFormat="1" ht="29.25" customHeight="1">
      <c r="A43" s="94">
        <v>7</v>
      </c>
      <c r="B43" s="311" t="s">
        <v>197</v>
      </c>
      <c r="C43" s="99">
        <f t="shared" si="8"/>
        <v>37056</v>
      </c>
      <c r="D43" s="100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37056</v>
      </c>
      <c r="K43" s="100">
        <v>0</v>
      </c>
      <c r="L43" s="100">
        <v>0</v>
      </c>
      <c r="M43" s="100">
        <v>0</v>
      </c>
      <c r="N43" s="555">
        <v>1412.99</v>
      </c>
      <c r="O43" s="556">
        <f>N43*J43/1000</f>
        <v>52359.75744</v>
      </c>
      <c r="R43" s="109"/>
    </row>
    <row r="44" spans="1:18" s="76" customFormat="1" ht="21.75" customHeight="1">
      <c r="A44" s="94">
        <v>8</v>
      </c>
      <c r="B44" s="311" t="s">
        <v>201</v>
      </c>
      <c r="C44" s="99">
        <f t="shared" si="8"/>
        <v>4369</v>
      </c>
      <c r="D44" s="100">
        <f aca="true" t="shared" si="9" ref="D44:I44">SUM(D45:D63)</f>
        <v>0</v>
      </c>
      <c r="E44" s="100">
        <f t="shared" si="9"/>
        <v>0</v>
      </c>
      <c r="F44" s="100">
        <f t="shared" si="9"/>
        <v>0</v>
      </c>
      <c r="G44" s="100">
        <f t="shared" si="9"/>
        <v>0</v>
      </c>
      <c r="H44" s="100">
        <f t="shared" si="9"/>
        <v>0</v>
      </c>
      <c r="I44" s="100">
        <f t="shared" si="9"/>
        <v>288</v>
      </c>
      <c r="J44" s="100">
        <f>SUM(J45:J63)</f>
        <v>4081</v>
      </c>
      <c r="K44" s="100">
        <f>SUM(K45:K63)</f>
        <v>0</v>
      </c>
      <c r="L44" s="100">
        <f>SUM(L45:L63)</f>
        <v>0</v>
      </c>
      <c r="M44" s="100">
        <f>SUM(M45:M63)</f>
        <v>0</v>
      </c>
      <c r="O44" s="378">
        <f>SUM(O45:O52)</f>
        <v>474.18</v>
      </c>
      <c r="R44" s="109"/>
    </row>
    <row r="45" spans="1:18" ht="40.5" customHeight="1">
      <c r="A45" s="81" t="s">
        <v>125</v>
      </c>
      <c r="B45" s="85" t="s">
        <v>117</v>
      </c>
      <c r="C45" s="80">
        <f t="shared" si="8"/>
        <v>200</v>
      </c>
      <c r="D45" s="77">
        <v>0</v>
      </c>
      <c r="E45" s="77">
        <v>0</v>
      </c>
      <c r="F45" s="77">
        <v>0</v>
      </c>
      <c r="G45" s="389">
        <v>0</v>
      </c>
      <c r="H45" s="77">
        <v>0</v>
      </c>
      <c r="I45" s="77">
        <v>200</v>
      </c>
      <c r="J45" s="77">
        <v>0</v>
      </c>
      <c r="K45" s="77"/>
      <c r="L45" s="77"/>
      <c r="M45" s="77">
        <v>0</v>
      </c>
      <c r="N45" s="72">
        <v>1500</v>
      </c>
      <c r="O45" s="464">
        <f>N45*I45/1000</f>
        <v>300</v>
      </c>
      <c r="R45" s="109"/>
    </row>
    <row r="46" spans="1:18" ht="18" customHeight="1">
      <c r="A46" s="81" t="s">
        <v>126</v>
      </c>
      <c r="B46" s="85" t="s">
        <v>118</v>
      </c>
      <c r="C46" s="80">
        <f t="shared" si="8"/>
        <v>40</v>
      </c>
      <c r="D46" s="77">
        <v>0</v>
      </c>
      <c r="E46" s="77">
        <v>0</v>
      </c>
      <c r="F46" s="77">
        <v>0</v>
      </c>
      <c r="G46" s="389">
        <v>0</v>
      </c>
      <c r="H46" s="77">
        <v>0</v>
      </c>
      <c r="I46" s="77">
        <v>40</v>
      </c>
      <c r="J46" s="77">
        <v>0</v>
      </c>
      <c r="K46" s="77"/>
      <c r="L46" s="77"/>
      <c r="M46" s="77">
        <v>0</v>
      </c>
      <c r="N46" s="72">
        <v>1825</v>
      </c>
      <c r="O46" s="464">
        <f aca="true" t="shared" si="10" ref="O46:O52">N46*I46/1000</f>
        <v>73</v>
      </c>
      <c r="R46" s="109"/>
    </row>
    <row r="47" spans="1:18" ht="18" customHeight="1">
      <c r="A47" s="81" t="s">
        <v>169</v>
      </c>
      <c r="B47" s="85" t="s">
        <v>119</v>
      </c>
      <c r="C47" s="80">
        <f t="shared" si="8"/>
        <v>1</v>
      </c>
      <c r="D47" s="77">
        <v>0</v>
      </c>
      <c r="E47" s="77">
        <v>0</v>
      </c>
      <c r="F47" s="77">
        <v>0</v>
      </c>
      <c r="G47" s="389">
        <v>0</v>
      </c>
      <c r="H47" s="77">
        <v>0</v>
      </c>
      <c r="I47" s="77">
        <v>1</v>
      </c>
      <c r="J47" s="77">
        <v>0</v>
      </c>
      <c r="K47" s="77"/>
      <c r="L47" s="77"/>
      <c r="M47" s="77">
        <v>0</v>
      </c>
      <c r="N47" s="72">
        <v>1685</v>
      </c>
      <c r="O47" s="464">
        <f t="shared" si="10"/>
        <v>1.685</v>
      </c>
      <c r="R47" s="109"/>
    </row>
    <row r="48" spans="1:18" ht="18" customHeight="1">
      <c r="A48" s="81" t="s">
        <v>192</v>
      </c>
      <c r="B48" s="85" t="s">
        <v>120</v>
      </c>
      <c r="C48" s="80">
        <f t="shared" si="8"/>
        <v>1</v>
      </c>
      <c r="D48" s="77">
        <v>0</v>
      </c>
      <c r="E48" s="77">
        <v>0</v>
      </c>
      <c r="F48" s="77">
        <v>0</v>
      </c>
      <c r="G48" s="389">
        <v>0</v>
      </c>
      <c r="H48" s="77">
        <v>0</v>
      </c>
      <c r="I48" s="77">
        <v>1</v>
      </c>
      <c r="J48" s="77">
        <v>0</v>
      </c>
      <c r="K48" s="77"/>
      <c r="L48" s="77"/>
      <c r="M48" s="77">
        <v>0</v>
      </c>
      <c r="N48" s="72">
        <v>1685</v>
      </c>
      <c r="O48" s="464">
        <f t="shared" si="10"/>
        <v>1.685</v>
      </c>
      <c r="R48" s="109"/>
    </row>
    <row r="49" spans="1:18" ht="18" customHeight="1">
      <c r="A49" s="81" t="s">
        <v>193</v>
      </c>
      <c r="B49" s="85" t="s">
        <v>121</v>
      </c>
      <c r="C49" s="80">
        <f t="shared" si="8"/>
        <v>2</v>
      </c>
      <c r="D49" s="77">
        <v>0</v>
      </c>
      <c r="E49" s="77">
        <v>0</v>
      </c>
      <c r="F49" s="77">
        <v>0</v>
      </c>
      <c r="G49" s="389">
        <v>0</v>
      </c>
      <c r="H49" s="77">
        <v>0</v>
      </c>
      <c r="I49" s="77">
        <f>10-8</f>
        <v>2</v>
      </c>
      <c r="J49" s="77">
        <v>0</v>
      </c>
      <c r="K49" s="77"/>
      <c r="L49" s="77"/>
      <c r="M49" s="77">
        <v>0</v>
      </c>
      <c r="N49" s="72">
        <v>2955</v>
      </c>
      <c r="O49" s="464">
        <f t="shared" si="10"/>
        <v>5.91</v>
      </c>
      <c r="R49" s="109"/>
    </row>
    <row r="50" spans="1:18" ht="18" customHeight="1">
      <c r="A50" s="81" t="s">
        <v>194</v>
      </c>
      <c r="B50" s="85" t="s">
        <v>122</v>
      </c>
      <c r="C50" s="80">
        <f t="shared" si="8"/>
        <v>4</v>
      </c>
      <c r="D50" s="77">
        <v>0</v>
      </c>
      <c r="E50" s="77">
        <v>0</v>
      </c>
      <c r="F50" s="77">
        <v>0</v>
      </c>
      <c r="G50" s="78">
        <v>0</v>
      </c>
      <c r="H50" s="77">
        <v>0</v>
      </c>
      <c r="I50" s="77">
        <f>20-16</f>
        <v>4</v>
      </c>
      <c r="J50" s="77">
        <v>0</v>
      </c>
      <c r="K50" s="77"/>
      <c r="L50" s="77"/>
      <c r="M50" s="77">
        <v>0</v>
      </c>
      <c r="N50" s="72">
        <v>1525</v>
      </c>
      <c r="O50" s="464">
        <f t="shared" si="10"/>
        <v>6.1</v>
      </c>
      <c r="R50" s="109"/>
    </row>
    <row r="51" spans="1:18" ht="15.75" customHeight="1">
      <c r="A51" s="81" t="s">
        <v>195</v>
      </c>
      <c r="B51" s="85" t="s">
        <v>123</v>
      </c>
      <c r="C51" s="80">
        <f t="shared" si="8"/>
        <v>19</v>
      </c>
      <c r="D51" s="77">
        <v>0</v>
      </c>
      <c r="E51" s="77">
        <v>0</v>
      </c>
      <c r="F51" s="77">
        <v>0</v>
      </c>
      <c r="G51" s="78">
        <v>0</v>
      </c>
      <c r="H51" s="77">
        <v>0</v>
      </c>
      <c r="I51" s="77">
        <f>9+10</f>
        <v>19</v>
      </c>
      <c r="J51" s="77">
        <v>0</v>
      </c>
      <c r="K51" s="77"/>
      <c r="L51" s="77"/>
      <c r="M51" s="77">
        <v>0</v>
      </c>
      <c r="N51" s="72">
        <v>1725</v>
      </c>
      <c r="O51" s="464">
        <f t="shared" si="10"/>
        <v>32.775</v>
      </c>
      <c r="R51" s="109"/>
    </row>
    <row r="52" spans="1:18" ht="15.75" customHeight="1">
      <c r="A52" s="81" t="s">
        <v>196</v>
      </c>
      <c r="B52" s="85" t="s">
        <v>124</v>
      </c>
      <c r="C52" s="80">
        <f t="shared" si="8"/>
        <v>21</v>
      </c>
      <c r="D52" s="77">
        <v>0</v>
      </c>
      <c r="E52" s="77">
        <v>0</v>
      </c>
      <c r="F52" s="77">
        <v>0</v>
      </c>
      <c r="G52" s="78">
        <v>0</v>
      </c>
      <c r="H52" s="77">
        <v>0</v>
      </c>
      <c r="I52" s="77">
        <f>9+12</f>
        <v>21</v>
      </c>
      <c r="J52" s="77">
        <v>0</v>
      </c>
      <c r="K52" s="77"/>
      <c r="L52" s="77"/>
      <c r="M52" s="77">
        <v>0</v>
      </c>
      <c r="N52" s="72">
        <v>2525</v>
      </c>
      <c r="O52" s="464">
        <f t="shared" si="10"/>
        <v>53.025</v>
      </c>
      <c r="P52" s="464"/>
      <c r="R52" s="109"/>
    </row>
    <row r="53" spans="1:18" ht="15.75" customHeight="1">
      <c r="A53" s="81" t="s">
        <v>319</v>
      </c>
      <c r="B53" s="85" t="s">
        <v>337</v>
      </c>
      <c r="C53" s="80">
        <f t="shared" si="8"/>
        <v>940</v>
      </c>
      <c r="D53" s="77"/>
      <c r="E53" s="77"/>
      <c r="F53" s="77"/>
      <c r="G53" s="389"/>
      <c r="H53" s="77"/>
      <c r="I53" s="77"/>
      <c r="J53" s="77">
        <v>940</v>
      </c>
      <c r="K53" s="77"/>
      <c r="L53" s="77"/>
      <c r="M53" s="77"/>
      <c r="N53" s="557">
        <v>450</v>
      </c>
      <c r="O53" s="558">
        <f>J53*N53/1000</f>
        <v>423</v>
      </c>
      <c r="P53" s="464"/>
      <c r="R53" s="109"/>
    </row>
    <row r="54" spans="1:18" ht="15.75" customHeight="1">
      <c r="A54" s="81" t="s">
        <v>320</v>
      </c>
      <c r="B54" s="85" t="s">
        <v>338</v>
      </c>
      <c r="C54" s="80">
        <f t="shared" si="8"/>
        <v>600</v>
      </c>
      <c r="D54" s="77"/>
      <c r="E54" s="77"/>
      <c r="F54" s="77"/>
      <c r="G54" s="389"/>
      <c r="H54" s="77"/>
      <c r="I54" s="77"/>
      <c r="J54" s="77">
        <v>600</v>
      </c>
      <c r="K54" s="77"/>
      <c r="L54" s="77"/>
      <c r="M54" s="77"/>
      <c r="N54" s="557">
        <v>450</v>
      </c>
      <c r="O54" s="558">
        <f aca="true" t="shared" si="11" ref="O54:O63">J54*N54/1000</f>
        <v>270</v>
      </c>
      <c r="P54" s="464"/>
      <c r="R54" s="109"/>
    </row>
    <row r="55" spans="1:18" ht="15.75" customHeight="1">
      <c r="A55" s="81" t="s">
        <v>321</v>
      </c>
      <c r="B55" s="85" t="s">
        <v>339</v>
      </c>
      <c r="C55" s="80">
        <f t="shared" si="8"/>
        <v>233</v>
      </c>
      <c r="D55" s="77"/>
      <c r="E55" s="77"/>
      <c r="F55" s="77"/>
      <c r="G55" s="389"/>
      <c r="H55" s="77"/>
      <c r="I55" s="77"/>
      <c r="J55" s="77">
        <v>233</v>
      </c>
      <c r="K55" s="77"/>
      <c r="L55" s="77"/>
      <c r="M55" s="77"/>
      <c r="N55" s="557">
        <v>420</v>
      </c>
      <c r="O55" s="558">
        <f t="shared" si="11"/>
        <v>97.86</v>
      </c>
      <c r="P55" s="464"/>
      <c r="R55" s="109"/>
    </row>
    <row r="56" spans="1:18" ht="29.25" customHeight="1">
      <c r="A56" s="81" t="s">
        <v>322</v>
      </c>
      <c r="B56" s="85" t="s">
        <v>340</v>
      </c>
      <c r="C56" s="80">
        <f t="shared" si="8"/>
        <v>345</v>
      </c>
      <c r="D56" s="77"/>
      <c r="E56" s="77"/>
      <c r="F56" s="77"/>
      <c r="G56" s="389"/>
      <c r="H56" s="77"/>
      <c r="I56" s="77"/>
      <c r="J56" s="77">
        <v>345</v>
      </c>
      <c r="K56" s="77"/>
      <c r="L56" s="77"/>
      <c r="M56" s="77"/>
      <c r="N56" s="557">
        <v>540</v>
      </c>
      <c r="O56" s="558">
        <f t="shared" si="11"/>
        <v>186.3</v>
      </c>
      <c r="P56" s="464"/>
      <c r="R56" s="109"/>
    </row>
    <row r="57" spans="1:18" ht="29.25" customHeight="1">
      <c r="A57" s="81" t="s">
        <v>323</v>
      </c>
      <c r="B57" s="85" t="s">
        <v>341</v>
      </c>
      <c r="C57" s="80">
        <f t="shared" si="8"/>
        <v>890</v>
      </c>
      <c r="D57" s="77"/>
      <c r="E57" s="77"/>
      <c r="F57" s="77"/>
      <c r="G57" s="389"/>
      <c r="H57" s="77"/>
      <c r="I57" s="77"/>
      <c r="J57" s="77">
        <v>890</v>
      </c>
      <c r="K57" s="77"/>
      <c r="L57" s="77"/>
      <c r="M57" s="77"/>
      <c r="N57" s="557">
        <v>967.8</v>
      </c>
      <c r="O57" s="558">
        <f t="shared" si="11"/>
        <v>861.342</v>
      </c>
      <c r="P57" s="464"/>
      <c r="R57" s="109"/>
    </row>
    <row r="58" spans="1:18" ht="18" customHeight="1">
      <c r="A58" s="81" t="s">
        <v>324</v>
      </c>
      <c r="B58" s="85" t="s">
        <v>342</v>
      </c>
      <c r="C58" s="80">
        <f t="shared" si="8"/>
        <v>890</v>
      </c>
      <c r="D58" s="77"/>
      <c r="E58" s="77"/>
      <c r="F58" s="77"/>
      <c r="G58" s="389"/>
      <c r="H58" s="77"/>
      <c r="I58" s="77"/>
      <c r="J58" s="77">
        <v>890</v>
      </c>
      <c r="K58" s="77"/>
      <c r="L58" s="77"/>
      <c r="M58" s="77"/>
      <c r="N58" s="557">
        <v>580</v>
      </c>
      <c r="O58" s="558">
        <f t="shared" si="11"/>
        <v>516.2</v>
      </c>
      <c r="P58" s="464"/>
      <c r="R58" s="109"/>
    </row>
    <row r="59" spans="1:18" ht="18" customHeight="1">
      <c r="A59" s="81" t="s">
        <v>325</v>
      </c>
      <c r="B59" s="85" t="s">
        <v>350</v>
      </c>
      <c r="C59" s="80">
        <f t="shared" si="8"/>
        <v>37</v>
      </c>
      <c r="D59" s="77"/>
      <c r="E59" s="77"/>
      <c r="F59" s="77"/>
      <c r="G59" s="389"/>
      <c r="H59" s="77"/>
      <c r="I59" s="77"/>
      <c r="J59" s="77">
        <v>37</v>
      </c>
      <c r="K59" s="77"/>
      <c r="L59" s="77"/>
      <c r="M59" s="77"/>
      <c r="N59" s="557">
        <v>359.1</v>
      </c>
      <c r="O59" s="558">
        <f t="shared" si="11"/>
        <v>13.286700000000002</v>
      </c>
      <c r="P59" s="464"/>
      <c r="R59" s="109"/>
    </row>
    <row r="60" spans="1:18" ht="18" customHeight="1">
      <c r="A60" s="81" t="s">
        <v>326</v>
      </c>
      <c r="B60" s="85" t="s">
        <v>343</v>
      </c>
      <c r="C60" s="80">
        <f t="shared" si="8"/>
        <v>37</v>
      </c>
      <c r="D60" s="77"/>
      <c r="E60" s="77"/>
      <c r="F60" s="77"/>
      <c r="G60" s="389"/>
      <c r="H60" s="77"/>
      <c r="I60" s="77"/>
      <c r="J60" s="77">
        <v>37</v>
      </c>
      <c r="K60" s="77"/>
      <c r="L60" s="77"/>
      <c r="M60" s="77"/>
      <c r="N60" s="557">
        <v>360.1</v>
      </c>
      <c r="O60" s="558">
        <f t="shared" si="11"/>
        <v>13.3237</v>
      </c>
      <c r="P60" s="464"/>
      <c r="R60" s="109"/>
    </row>
    <row r="61" spans="1:18" ht="28.5" customHeight="1">
      <c r="A61" s="81" t="s">
        <v>327</v>
      </c>
      <c r="B61" s="85" t="s">
        <v>344</v>
      </c>
      <c r="C61" s="80">
        <f t="shared" si="8"/>
        <v>49</v>
      </c>
      <c r="D61" s="77"/>
      <c r="E61" s="77"/>
      <c r="F61" s="77"/>
      <c r="G61" s="389"/>
      <c r="H61" s="77"/>
      <c r="I61" s="77"/>
      <c r="J61" s="77">
        <v>49</v>
      </c>
      <c r="K61" s="77"/>
      <c r="L61" s="77"/>
      <c r="M61" s="77"/>
      <c r="N61" s="557">
        <v>361.9</v>
      </c>
      <c r="O61" s="558">
        <f t="shared" si="11"/>
        <v>17.7331</v>
      </c>
      <c r="P61" s="464"/>
      <c r="R61" s="109"/>
    </row>
    <row r="62" spans="1:18" ht="24.75" customHeight="1">
      <c r="A62" s="81" t="s">
        <v>328</v>
      </c>
      <c r="B62" s="85" t="s">
        <v>345</v>
      </c>
      <c r="C62" s="80">
        <f t="shared" si="8"/>
        <v>49</v>
      </c>
      <c r="D62" s="77"/>
      <c r="E62" s="77"/>
      <c r="F62" s="77"/>
      <c r="G62" s="389"/>
      <c r="H62" s="77"/>
      <c r="I62" s="77"/>
      <c r="J62" s="77">
        <v>49</v>
      </c>
      <c r="K62" s="77"/>
      <c r="L62" s="77"/>
      <c r="M62" s="77"/>
      <c r="N62" s="557">
        <v>361.9</v>
      </c>
      <c r="O62" s="558">
        <f t="shared" si="11"/>
        <v>17.7331</v>
      </c>
      <c r="P62" s="464"/>
      <c r="R62" s="109"/>
    </row>
    <row r="63" spans="1:18" ht="16.5" customHeight="1">
      <c r="A63" s="81" t="s">
        <v>329</v>
      </c>
      <c r="B63" s="85" t="s">
        <v>346</v>
      </c>
      <c r="C63" s="80">
        <f t="shared" si="8"/>
        <v>11</v>
      </c>
      <c r="D63" s="77"/>
      <c r="E63" s="77"/>
      <c r="F63" s="77"/>
      <c r="G63" s="389"/>
      <c r="H63" s="77"/>
      <c r="I63" s="77"/>
      <c r="J63" s="77">
        <v>11</v>
      </c>
      <c r="K63" s="77"/>
      <c r="L63" s="77"/>
      <c r="M63" s="77"/>
      <c r="N63" s="557">
        <v>300</v>
      </c>
      <c r="O63" s="558">
        <f t="shared" si="11"/>
        <v>3.3</v>
      </c>
      <c r="P63" s="464"/>
      <c r="R63" s="109"/>
    </row>
    <row r="64" spans="1:18" ht="27.75" customHeight="1">
      <c r="A64" s="81" t="s">
        <v>330</v>
      </c>
      <c r="B64" s="85" t="s">
        <v>347</v>
      </c>
      <c r="C64" s="80">
        <f t="shared" si="8"/>
        <v>0</v>
      </c>
      <c r="D64" s="77"/>
      <c r="E64" s="77"/>
      <c r="F64" s="77"/>
      <c r="G64" s="389"/>
      <c r="H64" s="77"/>
      <c r="I64" s="77"/>
      <c r="J64" s="465" t="s">
        <v>473</v>
      </c>
      <c r="K64" s="465"/>
      <c r="L64" s="465"/>
      <c r="M64" s="77"/>
      <c r="N64" s="557">
        <v>1600</v>
      </c>
      <c r="O64" s="558"/>
      <c r="R64" s="109"/>
    </row>
    <row r="65" spans="1:18" ht="24" customHeight="1">
      <c r="A65" s="81" t="s">
        <v>331</v>
      </c>
      <c r="B65" s="85" t="s">
        <v>348</v>
      </c>
      <c r="C65" s="80">
        <f t="shared" si="8"/>
        <v>0</v>
      </c>
      <c r="D65" s="77"/>
      <c r="E65" s="77"/>
      <c r="F65" s="77"/>
      <c r="G65" s="389"/>
      <c r="H65" s="77"/>
      <c r="I65" s="77"/>
      <c r="J65" s="465" t="s">
        <v>473</v>
      </c>
      <c r="K65" s="465"/>
      <c r="L65" s="465"/>
      <c r="M65" s="77"/>
      <c r="N65" s="557">
        <v>520</v>
      </c>
      <c r="O65" s="558"/>
      <c r="R65" s="109"/>
    </row>
    <row r="66" spans="1:18" ht="21" customHeight="1">
      <c r="A66" s="81" t="s">
        <v>332</v>
      </c>
      <c r="B66" s="85" t="s">
        <v>349</v>
      </c>
      <c r="C66" s="80">
        <f t="shared" si="8"/>
        <v>0</v>
      </c>
      <c r="D66" s="77"/>
      <c r="E66" s="77"/>
      <c r="F66" s="77"/>
      <c r="G66" s="389"/>
      <c r="H66" s="77"/>
      <c r="I66" s="77"/>
      <c r="J66" s="465" t="s">
        <v>473</v>
      </c>
      <c r="K66" s="465"/>
      <c r="L66" s="465"/>
      <c r="M66" s="77"/>
      <c r="N66" s="557">
        <v>1050</v>
      </c>
      <c r="O66" s="558"/>
      <c r="R66" s="109"/>
    </row>
    <row r="67" spans="1:18" ht="19.5" customHeight="1">
      <c r="A67" s="94">
        <v>9</v>
      </c>
      <c r="B67" s="311" t="s">
        <v>470</v>
      </c>
      <c r="C67" s="100">
        <f t="shared" si="8"/>
        <v>3220</v>
      </c>
      <c r="D67" s="100">
        <f>D68+D69</f>
        <v>3220</v>
      </c>
      <c r="E67" s="100">
        <f>E68+E69</f>
        <v>0</v>
      </c>
      <c r="F67" s="100">
        <f>F68+F69</f>
        <v>0</v>
      </c>
      <c r="G67" s="100">
        <f>G68+G69</f>
        <v>0</v>
      </c>
      <c r="H67" s="100">
        <f aca="true" t="shared" si="12" ref="H67:M67">H68+H69</f>
        <v>0</v>
      </c>
      <c r="I67" s="100">
        <f t="shared" si="12"/>
        <v>0</v>
      </c>
      <c r="J67" s="100">
        <f t="shared" si="12"/>
        <v>0</v>
      </c>
      <c r="K67" s="100">
        <f t="shared" si="12"/>
        <v>0</v>
      </c>
      <c r="L67" s="100"/>
      <c r="M67" s="100">
        <f t="shared" si="12"/>
        <v>0</v>
      </c>
      <c r="R67" s="109"/>
    </row>
    <row r="68" spans="1:18" ht="17.25" customHeight="1">
      <c r="A68" s="81" t="s">
        <v>190</v>
      </c>
      <c r="B68" s="561" t="s">
        <v>127</v>
      </c>
      <c r="C68" s="562">
        <f t="shared" si="8"/>
        <v>730</v>
      </c>
      <c r="D68" s="543">
        <v>730</v>
      </c>
      <c r="E68" s="77">
        <v>0</v>
      </c>
      <c r="F68" s="77">
        <v>0</v>
      </c>
      <c r="G68" s="389">
        <v>0</v>
      </c>
      <c r="H68" s="77">
        <v>0</v>
      </c>
      <c r="I68" s="77">
        <v>0</v>
      </c>
      <c r="J68" s="77">
        <v>0</v>
      </c>
      <c r="K68" s="77"/>
      <c r="L68" s="77"/>
      <c r="M68" s="77">
        <v>0</v>
      </c>
      <c r="N68" s="72">
        <v>1114.5</v>
      </c>
      <c r="O68" s="464">
        <f>N68*C68/1000</f>
        <v>813.585</v>
      </c>
      <c r="R68" s="109"/>
    </row>
    <row r="69" spans="1:18" ht="17.25" customHeight="1">
      <c r="A69" s="81" t="s">
        <v>191</v>
      </c>
      <c r="B69" s="561" t="s">
        <v>128</v>
      </c>
      <c r="C69" s="562">
        <f t="shared" si="8"/>
        <v>2490</v>
      </c>
      <c r="D69" s="543">
        <v>2490</v>
      </c>
      <c r="E69" s="77">
        <v>0</v>
      </c>
      <c r="F69" s="77">
        <v>0</v>
      </c>
      <c r="G69" s="389">
        <v>0</v>
      </c>
      <c r="H69" s="77">
        <v>0</v>
      </c>
      <c r="I69" s="77">
        <v>0</v>
      </c>
      <c r="J69" s="77">
        <v>0</v>
      </c>
      <c r="K69" s="77"/>
      <c r="L69" s="77"/>
      <c r="M69" s="77">
        <v>0</v>
      </c>
      <c r="N69" s="72">
        <v>1942.9</v>
      </c>
      <c r="O69" s="464">
        <f>N69*C69/1000</f>
        <v>4837.821</v>
      </c>
      <c r="R69" s="109"/>
    </row>
    <row r="70" spans="1:13" ht="15.75">
      <c r="A70" s="104">
        <v>10</v>
      </c>
      <c r="B70" s="311" t="s">
        <v>471</v>
      </c>
      <c r="C70" s="95">
        <f t="shared" si="8"/>
        <v>1400</v>
      </c>
      <c r="D70" s="95">
        <f aca="true" t="shared" si="13" ref="D70:M70">D71+D72</f>
        <v>0</v>
      </c>
      <c r="E70" s="95">
        <f t="shared" si="13"/>
        <v>0</v>
      </c>
      <c r="F70" s="95">
        <f t="shared" si="13"/>
        <v>0</v>
      </c>
      <c r="G70" s="95">
        <f t="shared" si="13"/>
        <v>1200</v>
      </c>
      <c r="H70" s="95">
        <f t="shared" si="13"/>
        <v>0</v>
      </c>
      <c r="I70" s="95">
        <f t="shared" si="13"/>
        <v>0</v>
      </c>
      <c r="J70" s="95">
        <f t="shared" si="13"/>
        <v>0</v>
      </c>
      <c r="K70" s="95">
        <f t="shared" si="13"/>
        <v>200</v>
      </c>
      <c r="L70" s="95"/>
      <c r="M70" s="95">
        <f t="shared" si="13"/>
        <v>0</v>
      </c>
    </row>
    <row r="71" spans="1:15" ht="15.75">
      <c r="A71" s="81" t="s">
        <v>351</v>
      </c>
      <c r="B71" s="85" t="s">
        <v>353</v>
      </c>
      <c r="C71" s="80">
        <f t="shared" si="8"/>
        <v>1200</v>
      </c>
      <c r="D71" s="82">
        <v>0</v>
      </c>
      <c r="E71" s="82">
        <v>0</v>
      </c>
      <c r="F71" s="82">
        <v>0</v>
      </c>
      <c r="G71" s="82">
        <v>1200</v>
      </c>
      <c r="H71" s="82">
        <v>0</v>
      </c>
      <c r="I71" s="82">
        <v>0</v>
      </c>
      <c r="J71" s="82">
        <v>0</v>
      </c>
      <c r="K71" s="82"/>
      <c r="L71" s="82"/>
      <c r="M71" s="82">
        <v>0</v>
      </c>
      <c r="N71" s="72">
        <v>2369.9</v>
      </c>
      <c r="O71" s="72">
        <f>N71*G71/1000</f>
        <v>2843.88</v>
      </c>
    </row>
    <row r="72" spans="1:15" ht="20.25" customHeight="1">
      <c r="A72" s="81" t="s">
        <v>352</v>
      </c>
      <c r="B72" s="85" t="s">
        <v>333</v>
      </c>
      <c r="C72" s="80">
        <f t="shared" si="8"/>
        <v>200</v>
      </c>
      <c r="D72" s="77"/>
      <c r="E72" s="77">
        <v>0</v>
      </c>
      <c r="F72" s="77">
        <v>0</v>
      </c>
      <c r="G72" s="389">
        <v>0</v>
      </c>
      <c r="H72" s="77">
        <v>0</v>
      </c>
      <c r="I72" s="77">
        <v>0</v>
      </c>
      <c r="J72" s="77">
        <v>0</v>
      </c>
      <c r="K72" s="77">
        <v>200</v>
      </c>
      <c r="L72" s="77"/>
      <c r="M72" s="77">
        <v>0</v>
      </c>
      <c r="N72" s="72">
        <v>1843.6</v>
      </c>
      <c r="O72" s="72">
        <f>N72*K72/1000</f>
        <v>368.72</v>
      </c>
    </row>
    <row r="73" ht="15">
      <c r="C73" s="360"/>
    </row>
  </sheetData>
  <sheetProtection/>
  <mergeCells count="3">
    <mergeCell ref="A4:M4"/>
    <mergeCell ref="A3:M3"/>
    <mergeCell ref="J1:M1"/>
  </mergeCells>
  <printOptions/>
  <pageMargins left="0.1968503937007874" right="0.1968503937007874" top="0.7874015748031497" bottom="0.3937007874015748" header="0.31496062992125984" footer="0.31496062992125984"/>
  <pageSetup firstPageNumber="1" useFirstPageNumber="1" horizontalDpi="600" verticalDpi="600" orientation="landscape" paperSize="9" scale="70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O236"/>
  <sheetViews>
    <sheetView view="pageBreakPreview" zoomScale="80" zoomScaleSheetLayoutView="80" zoomScalePageLayoutView="0" workbookViewId="0" topLeftCell="A1">
      <pane xSplit="3" ySplit="7" topLeftCell="D5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37" sqref="D37:D39"/>
    </sheetView>
  </sheetViews>
  <sheetFormatPr defaultColWidth="9.140625" defaultRowHeight="12.75"/>
  <cols>
    <col min="1" max="2" width="9.421875" style="126" customWidth="1"/>
    <col min="3" max="3" width="89.7109375" style="126" customWidth="1"/>
    <col min="4" max="4" width="18.8515625" style="126" customWidth="1"/>
    <col min="5" max="6" width="9.140625" style="126" customWidth="1"/>
    <col min="7" max="7" width="11.7109375" style="126" customWidth="1"/>
    <col min="8" max="16384" width="9.140625" style="126" customWidth="1"/>
  </cols>
  <sheetData>
    <row r="1" ht="15.75">
      <c r="D1" s="428" t="s">
        <v>300</v>
      </c>
    </row>
    <row r="3" spans="1:4" s="124" customFormat="1" ht="13.5" customHeight="1">
      <c r="A3" s="476"/>
      <c r="B3" s="125"/>
      <c r="C3" s="125"/>
      <c r="D3" s="125"/>
    </row>
    <row r="4" spans="2:4" s="124" customFormat="1" ht="31.5" customHeight="1">
      <c r="B4" s="655" t="s">
        <v>302</v>
      </c>
      <c r="C4" s="655"/>
      <c r="D4" s="655"/>
    </row>
    <row r="5" ht="15.75" thickBot="1"/>
    <row r="6" spans="1:4" ht="48.75" customHeight="1" thickBot="1" thickTop="1">
      <c r="A6" s="122" t="s">
        <v>358</v>
      </c>
      <c r="B6" s="122" t="s">
        <v>172</v>
      </c>
      <c r="C6" s="123" t="s">
        <v>86</v>
      </c>
      <c r="D6" s="119" t="s">
        <v>173</v>
      </c>
    </row>
    <row r="7" spans="1:4" ht="21.75" customHeight="1" thickBot="1" thickTop="1">
      <c r="A7" s="648" t="s">
        <v>253</v>
      </c>
      <c r="B7" s="648"/>
      <c r="C7" s="648"/>
      <c r="D7" s="648"/>
    </row>
    <row r="8" spans="1:4" ht="15.75" customHeight="1" thickTop="1">
      <c r="A8" s="13">
        <v>6</v>
      </c>
      <c r="B8" s="13"/>
      <c r="C8" s="14" t="s">
        <v>231</v>
      </c>
      <c r="D8" s="355">
        <v>380</v>
      </c>
    </row>
    <row r="9" spans="1:4" ht="15.75" customHeight="1">
      <c r="A9" s="13">
        <v>5</v>
      </c>
      <c r="B9" s="13"/>
      <c r="C9" s="14" t="s">
        <v>230</v>
      </c>
      <c r="D9" s="355">
        <v>114</v>
      </c>
    </row>
    <row r="10" spans="1:4" ht="15.75" customHeight="1">
      <c r="A10" s="13">
        <v>4</v>
      </c>
      <c r="B10" s="13"/>
      <c r="C10" s="14" t="s">
        <v>229</v>
      </c>
      <c r="D10" s="355">
        <v>72</v>
      </c>
    </row>
    <row r="11" spans="1:4" ht="15.75">
      <c r="A11" s="13">
        <v>14</v>
      </c>
      <c r="B11" s="13"/>
      <c r="C11" s="14" t="s">
        <v>15</v>
      </c>
      <c r="D11" s="355">
        <v>369</v>
      </c>
    </row>
    <row r="12" spans="1:15" ht="15.75">
      <c r="A12" s="13">
        <v>15</v>
      </c>
      <c r="B12" s="13"/>
      <c r="C12" s="14" t="s">
        <v>16</v>
      </c>
      <c r="D12" s="355">
        <v>186</v>
      </c>
      <c r="O12" s="126" t="s">
        <v>59</v>
      </c>
    </row>
    <row r="13" spans="1:4" ht="15.75">
      <c r="A13" s="13">
        <v>16</v>
      </c>
      <c r="B13" s="13"/>
      <c r="C13" s="14" t="s">
        <v>85</v>
      </c>
      <c r="D13" s="355">
        <v>39</v>
      </c>
    </row>
    <row r="14" spans="1:4" ht="15.75">
      <c r="A14" s="13">
        <v>17</v>
      </c>
      <c r="B14" s="13"/>
      <c r="C14" s="14" t="s">
        <v>50</v>
      </c>
      <c r="D14" s="355">
        <v>262</v>
      </c>
    </row>
    <row r="15" spans="1:4" ht="15.75">
      <c r="A15" s="13">
        <v>17</v>
      </c>
      <c r="B15" s="13"/>
      <c r="C15" s="14" t="s">
        <v>53</v>
      </c>
      <c r="D15" s="355">
        <v>44</v>
      </c>
    </row>
    <row r="16" spans="1:5" ht="15.75">
      <c r="A16" s="15">
        <v>24</v>
      </c>
      <c r="B16" s="15"/>
      <c r="C16" s="16" t="s">
        <v>23</v>
      </c>
      <c r="D16" s="357">
        <v>1092</v>
      </c>
      <c r="E16" s="129"/>
    </row>
    <row r="17" spans="1:5" ht="15.75">
      <c r="A17" s="15">
        <v>24</v>
      </c>
      <c r="B17" s="15"/>
      <c r="C17" s="16" t="s">
        <v>25</v>
      </c>
      <c r="D17" s="357">
        <v>315</v>
      </c>
      <c r="E17" s="129"/>
    </row>
    <row r="18" spans="1:4" ht="15.75">
      <c r="A18" s="15">
        <v>26</v>
      </c>
      <c r="B18" s="15"/>
      <c r="C18" s="16" t="s">
        <v>17</v>
      </c>
      <c r="D18" s="357">
        <f>642+270</f>
        <v>912</v>
      </c>
    </row>
    <row r="19" spans="1:4" ht="15.75">
      <c r="A19" s="15">
        <v>26</v>
      </c>
      <c r="B19" s="69"/>
      <c r="C19" s="447" t="s">
        <v>313</v>
      </c>
      <c r="D19" s="357"/>
    </row>
    <row r="20" spans="1:4" ht="60">
      <c r="A20" s="59">
        <f>A18</f>
        <v>26</v>
      </c>
      <c r="B20" s="59">
        <v>37</v>
      </c>
      <c r="C20" s="161" t="s">
        <v>363</v>
      </c>
      <c r="D20" s="486">
        <v>55</v>
      </c>
    </row>
    <row r="21" spans="1:4" s="162" customFormat="1" ht="64.5" customHeight="1">
      <c r="A21" s="59">
        <f>A18</f>
        <v>26</v>
      </c>
      <c r="B21" s="59">
        <v>38</v>
      </c>
      <c r="C21" s="161" t="s">
        <v>372</v>
      </c>
      <c r="D21" s="486">
        <v>40</v>
      </c>
    </row>
    <row r="22" spans="1:4" s="162" customFormat="1" ht="58.5" customHeight="1">
      <c r="A22" s="59">
        <f>A18</f>
        <v>26</v>
      </c>
      <c r="B22" s="59">
        <v>39</v>
      </c>
      <c r="C22" s="161" t="s">
        <v>371</v>
      </c>
      <c r="D22" s="486">
        <v>20</v>
      </c>
    </row>
    <row r="23" spans="1:4" s="162" customFormat="1" ht="62.25" customHeight="1">
      <c r="A23" s="59">
        <f>A18</f>
        <v>26</v>
      </c>
      <c r="B23" s="59">
        <v>40</v>
      </c>
      <c r="C23" s="161" t="s">
        <v>370</v>
      </c>
      <c r="D23" s="486">
        <v>20</v>
      </c>
    </row>
    <row r="24" spans="1:4" s="162" customFormat="1" ht="65.25" customHeight="1">
      <c r="A24" s="59">
        <f>A18</f>
        <v>26</v>
      </c>
      <c r="B24" s="59">
        <v>41</v>
      </c>
      <c r="C24" s="161" t="s">
        <v>369</v>
      </c>
      <c r="D24" s="486">
        <v>15</v>
      </c>
    </row>
    <row r="25" spans="1:4" s="162" customFormat="1" ht="61.5" customHeight="1">
      <c r="A25" s="59">
        <f>A24</f>
        <v>26</v>
      </c>
      <c r="B25" s="59">
        <v>42</v>
      </c>
      <c r="C25" s="161" t="s">
        <v>368</v>
      </c>
      <c r="D25" s="486">
        <v>5</v>
      </c>
    </row>
    <row r="26" spans="1:4" s="162" customFormat="1" ht="47.25" customHeight="1">
      <c r="A26" s="59">
        <f>A24</f>
        <v>26</v>
      </c>
      <c r="B26" s="59">
        <v>43</v>
      </c>
      <c r="C26" s="161" t="s">
        <v>367</v>
      </c>
      <c r="D26" s="486">
        <v>35</v>
      </c>
    </row>
    <row r="27" spans="1:4" s="162" customFormat="1" ht="48" customHeight="1">
      <c r="A27" s="59">
        <f>A26</f>
        <v>26</v>
      </c>
      <c r="B27" s="59">
        <v>44</v>
      </c>
      <c r="C27" s="161" t="s">
        <v>366</v>
      </c>
      <c r="D27" s="486">
        <v>25</v>
      </c>
    </row>
    <row r="28" spans="1:4" s="162" customFormat="1" ht="44.25" customHeight="1">
      <c r="A28" s="59">
        <f>A26</f>
        <v>26</v>
      </c>
      <c r="B28" s="59">
        <v>45</v>
      </c>
      <c r="C28" s="161" t="s">
        <v>365</v>
      </c>
      <c r="D28" s="486">
        <v>15</v>
      </c>
    </row>
    <row r="29" spans="1:4" s="162" customFormat="1" ht="46.5" customHeight="1">
      <c r="A29" s="59">
        <v>26</v>
      </c>
      <c r="B29" s="59">
        <v>49</v>
      </c>
      <c r="C29" s="161" t="s">
        <v>364</v>
      </c>
      <c r="D29" s="486">
        <v>7</v>
      </c>
    </row>
    <row r="30" spans="1:4" s="162" customFormat="1" ht="31.5" customHeight="1">
      <c r="A30" s="59">
        <f>A28</f>
        <v>26</v>
      </c>
      <c r="B30" s="59">
        <v>51</v>
      </c>
      <c r="C30" s="161" t="s">
        <v>475</v>
      </c>
      <c r="D30" s="486">
        <v>33</v>
      </c>
    </row>
    <row r="31" spans="1:4" ht="15.75">
      <c r="A31" s="13">
        <v>30</v>
      </c>
      <c r="B31" s="13"/>
      <c r="C31" s="14" t="s">
        <v>378</v>
      </c>
      <c r="D31" s="355">
        <v>142</v>
      </c>
    </row>
    <row r="32" spans="1:4" ht="31.5">
      <c r="A32" s="13">
        <v>32</v>
      </c>
      <c r="B32" s="13"/>
      <c r="C32" s="14" t="s">
        <v>379</v>
      </c>
      <c r="D32" s="355">
        <v>237</v>
      </c>
    </row>
    <row r="33" spans="1:4" ht="15.75">
      <c r="A33" s="13">
        <v>31</v>
      </c>
      <c r="B33" s="13"/>
      <c r="C33" s="14" t="s">
        <v>380</v>
      </c>
      <c r="D33" s="355">
        <v>142</v>
      </c>
    </row>
    <row r="34" spans="1:5" ht="15.75">
      <c r="A34" s="13">
        <v>34</v>
      </c>
      <c r="B34" s="13"/>
      <c r="C34" s="14" t="s">
        <v>26</v>
      </c>
      <c r="D34" s="355">
        <f>373+373</f>
        <v>746</v>
      </c>
      <c r="E34" s="129"/>
    </row>
    <row r="35" spans="1:5" ht="15.75">
      <c r="A35" s="13">
        <v>38</v>
      </c>
      <c r="B35" s="13"/>
      <c r="C35" s="14" t="s">
        <v>37</v>
      </c>
      <c r="D35" s="355">
        <f>302+28</f>
        <v>330</v>
      </c>
      <c r="E35" s="129"/>
    </row>
    <row r="36" spans="1:7" ht="15.75">
      <c r="A36" s="13">
        <v>41</v>
      </c>
      <c r="B36" s="13"/>
      <c r="C36" s="14" t="s">
        <v>18</v>
      </c>
      <c r="D36" s="355">
        <v>394</v>
      </c>
      <c r="G36" s="67"/>
    </row>
    <row r="37" spans="1:7" ht="15.75">
      <c r="A37" s="13">
        <v>42</v>
      </c>
      <c r="B37" s="13"/>
      <c r="C37" s="14" t="s">
        <v>82</v>
      </c>
      <c r="D37" s="355">
        <v>478</v>
      </c>
      <c r="E37" s="301"/>
      <c r="G37" s="67"/>
    </row>
    <row r="38" spans="1:7" ht="15.75">
      <c r="A38" s="13">
        <v>42</v>
      </c>
      <c r="B38" s="13"/>
      <c r="C38" s="14" t="s">
        <v>83</v>
      </c>
      <c r="D38" s="355">
        <v>422</v>
      </c>
      <c r="E38" s="301"/>
      <c r="G38" s="67"/>
    </row>
    <row r="39" spans="1:7" ht="15.75">
      <c r="A39" s="13">
        <v>64</v>
      </c>
      <c r="B39" s="13"/>
      <c r="C39" s="14" t="s">
        <v>314</v>
      </c>
      <c r="D39" s="355">
        <v>204</v>
      </c>
      <c r="G39" s="67"/>
    </row>
    <row r="40" spans="1:4" ht="15.75">
      <c r="A40" s="13">
        <v>50</v>
      </c>
      <c r="B40" s="13"/>
      <c r="C40" s="14" t="s">
        <v>359</v>
      </c>
      <c r="D40" s="355">
        <v>376</v>
      </c>
    </row>
    <row r="41" spans="1:4" ht="15.75">
      <c r="A41" s="13">
        <v>52</v>
      </c>
      <c r="B41" s="13"/>
      <c r="C41" s="14" t="s">
        <v>19</v>
      </c>
      <c r="D41" s="355">
        <v>445</v>
      </c>
    </row>
    <row r="42" spans="1:4" ht="15.75">
      <c r="A42" s="13">
        <v>55</v>
      </c>
      <c r="B42" s="13"/>
      <c r="C42" s="14" t="s">
        <v>24</v>
      </c>
      <c r="D42" s="355">
        <v>513</v>
      </c>
    </row>
    <row r="43" spans="1:4" ht="15.75">
      <c r="A43" s="13">
        <v>63</v>
      </c>
      <c r="B43" s="13"/>
      <c r="C43" s="14" t="s">
        <v>20</v>
      </c>
      <c r="D43" s="355">
        <v>512</v>
      </c>
    </row>
    <row r="44" spans="1:4" ht="15.75">
      <c r="A44" s="13">
        <v>65</v>
      </c>
      <c r="B44" s="13"/>
      <c r="C44" s="14" t="s">
        <v>52</v>
      </c>
      <c r="D44" s="355">
        <v>15</v>
      </c>
    </row>
    <row r="45" spans="1:4" ht="15.75">
      <c r="A45" s="13">
        <v>67</v>
      </c>
      <c r="B45" s="13"/>
      <c r="C45" s="14" t="s">
        <v>27</v>
      </c>
      <c r="D45" s="355">
        <v>266</v>
      </c>
    </row>
    <row r="46" spans="1:4" ht="15.75">
      <c r="A46" s="13">
        <v>71</v>
      </c>
      <c r="B46" s="13"/>
      <c r="C46" s="14" t="s">
        <v>21</v>
      </c>
      <c r="D46" s="355">
        <v>1536</v>
      </c>
    </row>
    <row r="47" spans="1:5" ht="18" customHeight="1">
      <c r="A47" s="13">
        <v>74</v>
      </c>
      <c r="B47" s="8"/>
      <c r="C47" s="17" t="s">
        <v>87</v>
      </c>
      <c r="D47" s="355">
        <f>375</f>
        <v>375</v>
      </c>
      <c r="E47" s="129"/>
    </row>
    <row r="48" spans="1:7" ht="15.75">
      <c r="A48" s="8">
        <v>74</v>
      </c>
      <c r="B48" s="448"/>
      <c r="C48" s="447" t="s">
        <v>313</v>
      </c>
      <c r="D48" s="487"/>
      <c r="F48" s="313"/>
      <c r="G48" s="313"/>
    </row>
    <row r="49" spans="1:7" s="162" customFormat="1" ht="47.25" customHeight="1">
      <c r="A49" s="649">
        <f>A47</f>
        <v>74</v>
      </c>
      <c r="B49" s="649">
        <v>56</v>
      </c>
      <c r="C49" s="161" t="s">
        <v>373</v>
      </c>
      <c r="D49" s="652">
        <v>100</v>
      </c>
      <c r="F49" s="449"/>
      <c r="G49" s="449"/>
    </row>
    <row r="50" spans="1:7" s="162" customFormat="1" ht="61.5" customHeight="1">
      <c r="A50" s="650"/>
      <c r="B50" s="650"/>
      <c r="C50" s="161" t="s">
        <v>315</v>
      </c>
      <c r="D50" s="653"/>
      <c r="F50" s="449"/>
      <c r="G50" s="449"/>
    </row>
    <row r="51" spans="1:7" s="162" customFormat="1" ht="46.5" customHeight="1">
      <c r="A51" s="651"/>
      <c r="B51" s="651"/>
      <c r="C51" s="161" t="s">
        <v>316</v>
      </c>
      <c r="D51" s="654"/>
      <c r="F51" s="449"/>
      <c r="G51" s="449"/>
    </row>
    <row r="52" spans="1:7" s="162" customFormat="1" ht="63.75" customHeight="1">
      <c r="A52" s="450">
        <v>74</v>
      </c>
      <c r="B52" s="450">
        <v>59</v>
      </c>
      <c r="C52" s="161" t="s">
        <v>317</v>
      </c>
      <c r="D52" s="488">
        <v>90</v>
      </c>
      <c r="F52" s="449"/>
      <c r="G52" s="449"/>
    </row>
    <row r="53" spans="1:7" ht="15.75">
      <c r="A53" s="13">
        <f>A47</f>
        <v>74</v>
      </c>
      <c r="B53" s="13"/>
      <c r="C53" s="14" t="s">
        <v>318</v>
      </c>
      <c r="D53" s="355">
        <f>647</f>
        <v>647</v>
      </c>
      <c r="F53" s="313"/>
      <c r="G53" s="313"/>
    </row>
    <row r="54" spans="1:7" ht="15.75">
      <c r="A54" s="13">
        <v>77</v>
      </c>
      <c r="B54" s="13"/>
      <c r="C54" s="18" t="s">
        <v>49</v>
      </c>
      <c r="D54" s="489">
        <v>586</v>
      </c>
      <c r="F54" s="313"/>
      <c r="G54" s="313"/>
    </row>
    <row r="55" spans="1:7" ht="15.75">
      <c r="A55" s="19">
        <v>80</v>
      </c>
      <c r="B55" s="19"/>
      <c r="C55" s="18" t="s">
        <v>29</v>
      </c>
      <c r="D55" s="355">
        <v>2225</v>
      </c>
      <c r="E55" s="129"/>
      <c r="F55" s="313"/>
      <c r="G55" s="313"/>
    </row>
    <row r="56" spans="1:7" ht="15.75">
      <c r="A56" s="8">
        <v>82</v>
      </c>
      <c r="B56" s="19"/>
      <c r="C56" s="18" t="s">
        <v>69</v>
      </c>
      <c r="D56" s="355">
        <v>40</v>
      </c>
      <c r="F56" s="313"/>
      <c r="G56" s="313"/>
    </row>
    <row r="57" spans="1:7" ht="15.75">
      <c r="A57" s="15">
        <v>84</v>
      </c>
      <c r="B57" s="15"/>
      <c r="C57" s="16" t="s">
        <v>39</v>
      </c>
      <c r="D57" s="357">
        <v>100</v>
      </c>
      <c r="F57" s="313"/>
      <c r="G57" s="313"/>
    </row>
    <row r="58" spans="1:7" ht="16.5" thickBot="1">
      <c r="A58" s="20">
        <v>85</v>
      </c>
      <c r="B58" s="20"/>
      <c r="C58" s="17" t="s">
        <v>22</v>
      </c>
      <c r="D58" s="490">
        <v>230</v>
      </c>
      <c r="F58" s="313"/>
      <c r="G58" s="313"/>
    </row>
    <row r="59" spans="1:11" ht="16.5" thickTop="1">
      <c r="A59" s="21"/>
      <c r="B59" s="21"/>
      <c r="C59" s="22" t="s">
        <v>174</v>
      </c>
      <c r="D59" s="130">
        <f>SUM(D53:D58)+SUM(D31:D47)+SUM(D8:D18)</f>
        <v>14746</v>
      </c>
      <c r="E59" s="131">
        <v>14746</v>
      </c>
      <c r="F59" s="132">
        <f>E59-D59</f>
        <v>0</v>
      </c>
      <c r="G59" s="132"/>
      <c r="H59" s="132"/>
      <c r="I59" s="133"/>
      <c r="J59" s="133"/>
      <c r="K59" s="133"/>
    </row>
    <row r="60" spans="1:11" ht="15.75">
      <c r="A60" s="451">
        <f>A37</f>
        <v>42</v>
      </c>
      <c r="B60" s="451"/>
      <c r="C60" s="452" t="s">
        <v>171</v>
      </c>
      <c r="D60" s="151">
        <f>D37+D38+D39</f>
        <v>1104</v>
      </c>
      <c r="E60" s="131"/>
      <c r="F60" s="132"/>
      <c r="G60" s="132"/>
      <c r="H60" s="132"/>
      <c r="I60" s="133"/>
      <c r="J60" s="133"/>
      <c r="K60" s="133"/>
    </row>
    <row r="61" spans="1:11" s="137" customFormat="1" ht="16.5" thickBot="1">
      <c r="A61" s="23"/>
      <c r="B61" s="23"/>
      <c r="C61" s="121" t="s">
        <v>170</v>
      </c>
      <c r="D61" s="134">
        <f>SUM(D49:D52)+SUM(D19:D30)</f>
        <v>460</v>
      </c>
      <c r="E61" s="126"/>
      <c r="F61" s="135"/>
      <c r="G61" s="135"/>
      <c r="H61" s="135"/>
      <c r="I61" s="136"/>
      <c r="J61" s="136"/>
      <c r="K61" s="136"/>
    </row>
    <row r="62" spans="2:11" ht="17.25" hidden="1" thickBot="1" thickTop="1">
      <c r="B62" s="647"/>
      <c r="C62" s="648"/>
      <c r="D62" s="648"/>
      <c r="F62" s="133"/>
      <c r="G62" s="133"/>
      <c r="H62" s="133"/>
      <c r="I62" s="133"/>
      <c r="J62" s="133"/>
      <c r="K62" s="133"/>
    </row>
    <row r="63" spans="1:11" ht="17.25" hidden="1" thickBot="1" thickTop="1">
      <c r="A63" s="24"/>
      <c r="B63" s="24"/>
      <c r="C63" s="25"/>
      <c r="D63" s="24"/>
      <c r="F63" s="133"/>
      <c r="G63" s="133"/>
      <c r="H63" s="133"/>
      <c r="I63" s="133"/>
      <c r="J63" s="133"/>
      <c r="K63" s="133"/>
    </row>
    <row r="64" spans="1:11" s="138" customFormat="1" ht="17.25" hidden="1" thickBot="1" thickTop="1">
      <c r="A64" s="69"/>
      <c r="B64" s="69"/>
      <c r="C64" s="93"/>
      <c r="D64" s="69"/>
      <c r="F64" s="133"/>
      <c r="G64" s="139"/>
      <c r="H64" s="139"/>
      <c r="I64" s="139"/>
      <c r="J64" s="139"/>
      <c r="K64" s="139"/>
    </row>
    <row r="65" spans="1:11" ht="20.25" customHeight="1" hidden="1">
      <c r="A65" s="15"/>
      <c r="B65" s="15"/>
      <c r="C65" s="16"/>
      <c r="D65" s="15"/>
      <c r="F65" s="133"/>
      <c r="G65" s="133"/>
      <c r="H65" s="133"/>
      <c r="I65" s="133"/>
      <c r="J65" s="133"/>
      <c r="K65" s="133"/>
    </row>
    <row r="66" spans="1:11" ht="17.25" hidden="1" thickBot="1" thickTop="1">
      <c r="A66" s="92"/>
      <c r="B66" s="92"/>
      <c r="C66" s="14"/>
      <c r="D66" s="13"/>
      <c r="F66" s="133"/>
      <c r="G66" s="133"/>
      <c r="H66" s="133"/>
      <c r="I66" s="133"/>
      <c r="J66" s="133"/>
      <c r="K66" s="133"/>
    </row>
    <row r="67" spans="1:11" ht="17.25" hidden="1" thickBot="1" thickTop="1">
      <c r="A67" s="21"/>
      <c r="B67" s="21"/>
      <c r="C67" s="22"/>
      <c r="D67" s="160"/>
      <c r="E67" s="131"/>
      <c r="F67" s="132"/>
      <c r="G67" s="132"/>
      <c r="H67" s="132"/>
      <c r="I67" s="133"/>
      <c r="J67" s="133"/>
      <c r="K67" s="133"/>
    </row>
    <row r="68" spans="1:11" ht="17.25" hidden="1" thickBot="1" thickTop="1">
      <c r="A68" s="157"/>
      <c r="B68" s="157"/>
      <c r="C68" s="158"/>
      <c r="D68" s="159"/>
      <c r="E68" s="131"/>
      <c r="F68" s="132"/>
      <c r="G68" s="132"/>
      <c r="H68" s="132"/>
      <c r="I68" s="133"/>
      <c r="J68" s="133"/>
      <c r="K68" s="133"/>
    </row>
    <row r="69" spans="1:11" ht="21.75" customHeight="1" thickBot="1" thickTop="1">
      <c r="A69" s="648" t="s">
        <v>249</v>
      </c>
      <c r="B69" s="648"/>
      <c r="C69" s="648"/>
      <c r="D69" s="648"/>
      <c r="F69" s="133"/>
      <c r="G69" s="133"/>
      <c r="H69" s="133"/>
      <c r="I69" s="133"/>
      <c r="J69" s="133"/>
      <c r="K69" s="133"/>
    </row>
    <row r="70" spans="1:7" ht="16.5" thickTop="1">
      <c r="A70" s="29">
        <v>22</v>
      </c>
      <c r="B70" s="29"/>
      <c r="C70" s="30" t="s">
        <v>34</v>
      </c>
      <c r="D70" s="141">
        <v>149</v>
      </c>
      <c r="F70" s="313"/>
      <c r="G70" s="313"/>
    </row>
    <row r="71" spans="1:7" ht="15.75">
      <c r="A71" s="29">
        <v>19</v>
      </c>
      <c r="B71" s="29"/>
      <c r="C71" s="30" t="s">
        <v>74</v>
      </c>
      <c r="D71" s="141">
        <v>50</v>
      </c>
      <c r="F71" s="313"/>
      <c r="G71" s="313"/>
    </row>
    <row r="72" spans="1:7" ht="15.75">
      <c r="A72" s="36">
        <v>21</v>
      </c>
      <c r="B72" s="36"/>
      <c r="C72" s="37" t="s">
        <v>232</v>
      </c>
      <c r="D72" s="193">
        <v>59</v>
      </c>
      <c r="F72" s="313"/>
      <c r="G72" s="313"/>
    </row>
    <row r="73" spans="1:7" ht="15.75">
      <c r="A73" s="36">
        <v>23</v>
      </c>
      <c r="B73" s="36"/>
      <c r="C73" s="37" t="s">
        <v>75</v>
      </c>
      <c r="D73" s="193">
        <v>23</v>
      </c>
      <c r="F73" s="313"/>
      <c r="G73" s="313"/>
    </row>
    <row r="74" spans="1:7" ht="15.75">
      <c r="A74" s="29">
        <v>24</v>
      </c>
      <c r="B74" s="29"/>
      <c r="C74" s="30" t="s">
        <v>28</v>
      </c>
      <c r="D74" s="141">
        <v>1050</v>
      </c>
      <c r="F74" s="313"/>
      <c r="G74" s="313"/>
    </row>
    <row r="75" spans="1:7" ht="15.75">
      <c r="A75" s="29">
        <v>30</v>
      </c>
      <c r="B75" s="29"/>
      <c r="C75" s="30" t="s">
        <v>72</v>
      </c>
      <c r="D75" s="141">
        <v>79</v>
      </c>
      <c r="F75" s="313"/>
      <c r="G75" s="313"/>
    </row>
    <row r="76" spans="1:7" ht="15.75">
      <c r="A76" s="29">
        <v>34</v>
      </c>
      <c r="B76" s="29"/>
      <c r="C76" s="30" t="s">
        <v>31</v>
      </c>
      <c r="D76" s="141">
        <v>180</v>
      </c>
      <c r="F76" s="313"/>
      <c r="G76" s="313"/>
    </row>
    <row r="77" spans="1:7" ht="15.75">
      <c r="A77" s="29">
        <v>38</v>
      </c>
      <c r="B77" s="29"/>
      <c r="C77" s="30" t="s">
        <v>37</v>
      </c>
      <c r="D77" s="141">
        <v>51</v>
      </c>
      <c r="F77" s="313"/>
      <c r="G77" s="313"/>
    </row>
    <row r="78" spans="1:7" ht="15.75">
      <c r="A78" s="29">
        <v>63</v>
      </c>
      <c r="B78" s="29"/>
      <c r="C78" s="30" t="s">
        <v>20</v>
      </c>
      <c r="D78" s="141">
        <v>24</v>
      </c>
      <c r="F78" s="313"/>
      <c r="G78" s="313"/>
    </row>
    <row r="79" spans="1:7" ht="15.75">
      <c r="A79" s="29">
        <v>39</v>
      </c>
      <c r="B79" s="29"/>
      <c r="C79" s="30" t="s">
        <v>30</v>
      </c>
      <c r="D79" s="141">
        <v>270</v>
      </c>
      <c r="F79" s="313"/>
      <c r="G79" s="313"/>
    </row>
    <row r="80" spans="1:7" ht="15.75">
      <c r="A80" s="29">
        <v>55</v>
      </c>
      <c r="B80" s="29"/>
      <c r="C80" s="30" t="s">
        <v>24</v>
      </c>
      <c r="D80" s="141">
        <v>615</v>
      </c>
      <c r="E80" s="129"/>
      <c r="F80" s="313"/>
      <c r="G80" s="313"/>
    </row>
    <row r="81" spans="1:7" ht="15.75">
      <c r="A81" s="29">
        <v>74</v>
      </c>
      <c r="B81" s="29"/>
      <c r="C81" s="30" t="s">
        <v>68</v>
      </c>
      <c r="D81" s="141">
        <v>110</v>
      </c>
      <c r="F81" s="313"/>
      <c r="G81" s="313"/>
    </row>
    <row r="82" spans="1:7" ht="16.5" thickBot="1">
      <c r="A82" s="29">
        <v>82</v>
      </c>
      <c r="B82" s="29"/>
      <c r="C82" s="30" t="s">
        <v>69</v>
      </c>
      <c r="D82" s="141">
        <v>20</v>
      </c>
      <c r="F82" s="313"/>
      <c r="G82" s="313"/>
    </row>
    <row r="83" spans="1:8" ht="17.25" thickBot="1" thickTop="1">
      <c r="A83" s="31"/>
      <c r="B83" s="31"/>
      <c r="C83" s="32" t="s">
        <v>7</v>
      </c>
      <c r="D83" s="142">
        <f>SUM(D70:D82)</f>
        <v>2680</v>
      </c>
      <c r="E83" s="131"/>
      <c r="F83" s="132"/>
      <c r="G83" s="132"/>
      <c r="H83" s="131"/>
    </row>
    <row r="84" spans="1:7" ht="17.25" customHeight="1" thickBot="1" thickTop="1">
      <c r="A84" s="648" t="s">
        <v>250</v>
      </c>
      <c r="B84" s="648"/>
      <c r="C84" s="648"/>
      <c r="D84" s="648"/>
      <c r="F84" s="313"/>
      <c r="G84" s="313"/>
    </row>
    <row r="85" spans="1:7" ht="16.5" thickTop="1">
      <c r="A85" s="33">
        <v>3</v>
      </c>
      <c r="B85" s="33"/>
      <c r="C85" s="34" t="s">
        <v>84</v>
      </c>
      <c r="D85" s="304">
        <v>104</v>
      </c>
      <c r="F85" s="313"/>
      <c r="G85" s="132"/>
    </row>
    <row r="86" spans="1:7" s="138" customFormat="1" ht="15.75">
      <c r="A86" s="35">
        <v>6</v>
      </c>
      <c r="B86" s="35"/>
      <c r="C86" s="30" t="s">
        <v>231</v>
      </c>
      <c r="D86" s="303">
        <v>1432</v>
      </c>
      <c r="E86" s="126">
        <f>D86+D88</f>
        <v>2286</v>
      </c>
      <c r="F86" s="314"/>
      <c r="G86" s="315"/>
    </row>
    <row r="87" spans="1:7" ht="15.75">
      <c r="A87" s="29">
        <v>4</v>
      </c>
      <c r="B87" s="29"/>
      <c r="C87" s="30" t="s">
        <v>229</v>
      </c>
      <c r="D87" s="303">
        <v>1104</v>
      </c>
      <c r="F87" s="313"/>
      <c r="G87" s="132"/>
    </row>
    <row r="88" spans="1:7" ht="15.75">
      <c r="A88" s="36">
        <v>5</v>
      </c>
      <c r="B88" s="36"/>
      <c r="C88" s="37" t="s">
        <v>230</v>
      </c>
      <c r="D88" s="302">
        <v>854</v>
      </c>
      <c r="F88" s="313"/>
      <c r="G88" s="132"/>
    </row>
    <row r="89" spans="1:7" ht="16.5" thickBot="1">
      <c r="A89" s="38">
        <v>39</v>
      </c>
      <c r="B89" s="38"/>
      <c r="C89" s="39" t="s">
        <v>30</v>
      </c>
      <c r="D89" s="492">
        <v>155</v>
      </c>
      <c r="F89" s="313"/>
      <c r="G89" s="132"/>
    </row>
    <row r="90" spans="1:8" ht="17.25" thickBot="1" thickTop="1">
      <c r="A90" s="40"/>
      <c r="B90" s="40"/>
      <c r="C90" s="41" t="s">
        <v>7</v>
      </c>
      <c r="D90" s="145">
        <f>SUM(D85:D89)</f>
        <v>3649</v>
      </c>
      <c r="E90" s="131"/>
      <c r="F90" s="132"/>
      <c r="G90" s="132"/>
      <c r="H90" s="131"/>
    </row>
    <row r="91" spans="2:7" ht="17.25" hidden="1" thickBot="1" thickTop="1">
      <c r="B91" s="647"/>
      <c r="C91" s="648"/>
      <c r="D91" s="648"/>
      <c r="F91" s="313"/>
      <c r="G91" s="313"/>
    </row>
    <row r="92" spans="1:7" ht="17.25" hidden="1" thickBot="1" thickTop="1">
      <c r="A92" s="42"/>
      <c r="B92" s="42"/>
      <c r="C92" s="43"/>
      <c r="D92" s="146"/>
      <c r="F92" s="313"/>
      <c r="G92" s="313"/>
    </row>
    <row r="93" spans="1:8" ht="17.25" hidden="1" thickBot="1" thickTop="1">
      <c r="A93" s="40"/>
      <c r="B93" s="40"/>
      <c r="C93" s="41"/>
      <c r="D93" s="145"/>
      <c r="F93" s="132"/>
      <c r="G93" s="132"/>
      <c r="H93" s="131"/>
    </row>
    <row r="94" spans="2:7" ht="17.25" hidden="1" thickBot="1" thickTop="1">
      <c r="B94" s="647"/>
      <c r="C94" s="648"/>
      <c r="D94" s="648"/>
      <c r="F94" s="313"/>
      <c r="G94" s="313"/>
    </row>
    <row r="95" spans="1:7" ht="17.25" hidden="1" thickBot="1" thickTop="1">
      <c r="A95" s="33"/>
      <c r="B95" s="33"/>
      <c r="C95" s="49"/>
      <c r="D95" s="24"/>
      <c r="F95" s="313"/>
      <c r="G95" s="313"/>
    </row>
    <row r="96" spans="1:7" ht="17.25" hidden="1" thickBot="1" thickTop="1">
      <c r="A96" s="36"/>
      <c r="B96" s="36"/>
      <c r="C96" s="50"/>
      <c r="D96" s="302"/>
      <c r="F96" s="67"/>
      <c r="G96" s="313"/>
    </row>
    <row r="97" spans="1:7" ht="17.25" hidden="1" thickBot="1" thickTop="1">
      <c r="A97" s="36"/>
      <c r="B97" s="36"/>
      <c r="C97" s="50"/>
      <c r="D97" s="13"/>
      <c r="F97" s="67"/>
      <c r="G97" s="313"/>
    </row>
    <row r="98" spans="1:7" s="138" customFormat="1" ht="17.25" hidden="1" thickBot="1" thickTop="1">
      <c r="A98" s="51"/>
      <c r="B98" s="51"/>
      <c r="C98" s="50"/>
      <c r="D98" s="302"/>
      <c r="E98" s="126"/>
      <c r="F98" s="139"/>
      <c r="G98" s="139"/>
    </row>
    <row r="99" spans="1:7" ht="17.25" hidden="1" thickBot="1" thickTop="1">
      <c r="A99" s="36"/>
      <c r="B99" s="36"/>
      <c r="C99" s="50"/>
      <c r="D99" s="13"/>
      <c r="F99" s="313"/>
      <c r="G99" s="313"/>
    </row>
    <row r="100" spans="1:7" ht="17.25" hidden="1" thickBot="1" thickTop="1">
      <c r="A100" s="36"/>
      <c r="B100" s="36"/>
      <c r="C100" s="50"/>
      <c r="D100" s="13"/>
      <c r="E100" s="129"/>
      <c r="F100" s="313"/>
      <c r="G100" s="313"/>
    </row>
    <row r="101" spans="1:7" ht="17.25" hidden="1" thickBot="1" thickTop="1">
      <c r="A101" s="38"/>
      <c r="B101" s="38"/>
      <c r="C101" s="52"/>
      <c r="D101" s="60"/>
      <c r="F101" s="313"/>
      <c r="G101" s="313"/>
    </row>
    <row r="102" spans="1:8" ht="17.25" hidden="1" thickBot="1" thickTop="1">
      <c r="A102" s="40"/>
      <c r="B102" s="40"/>
      <c r="C102" s="53"/>
      <c r="D102" s="147"/>
      <c r="F102" s="132"/>
      <c r="G102" s="132"/>
      <c r="H102" s="131"/>
    </row>
    <row r="103" spans="2:7" ht="17.25" hidden="1" thickBot="1" thickTop="1">
      <c r="B103" s="647"/>
      <c r="C103" s="648"/>
      <c r="D103" s="648"/>
      <c r="F103" s="313"/>
      <c r="G103" s="313"/>
    </row>
    <row r="104" spans="1:7" ht="17.25" hidden="1" thickBot="1" thickTop="1">
      <c r="A104" s="29"/>
      <c r="B104" s="29"/>
      <c r="C104" s="30"/>
      <c r="D104" s="303"/>
      <c r="F104" s="313"/>
      <c r="G104" s="313"/>
    </row>
    <row r="105" spans="1:7" ht="17.25" hidden="1" thickBot="1" thickTop="1">
      <c r="A105" s="36"/>
      <c r="B105" s="36"/>
      <c r="C105" s="37"/>
      <c r="D105" s="13"/>
      <c r="F105" s="313"/>
      <c r="G105" s="313"/>
    </row>
    <row r="106" spans="1:7" s="138" customFormat="1" ht="17.25" hidden="1" thickBot="1" thickTop="1">
      <c r="A106" s="51"/>
      <c r="B106" s="51"/>
      <c r="C106" s="37"/>
      <c r="D106" s="302"/>
      <c r="E106" s="126"/>
      <c r="F106" s="67"/>
      <c r="G106" s="139"/>
    </row>
    <row r="107" spans="1:7" ht="17.25" hidden="1" thickBot="1" thickTop="1">
      <c r="A107" s="36"/>
      <c r="B107" s="36"/>
      <c r="C107" s="37"/>
      <c r="D107" s="302"/>
      <c r="F107" s="67"/>
      <c r="G107" s="139"/>
    </row>
    <row r="108" spans="1:7" ht="17.25" hidden="1" thickBot="1" thickTop="1">
      <c r="A108" s="36"/>
      <c r="B108" s="36"/>
      <c r="C108" s="37"/>
      <c r="D108" s="302"/>
      <c r="F108" s="313"/>
      <c r="G108" s="313"/>
    </row>
    <row r="109" spans="1:7" ht="17.25" hidden="1" thickBot="1" thickTop="1">
      <c r="A109" s="36"/>
      <c r="B109" s="36"/>
      <c r="C109" s="37"/>
      <c r="D109" s="13"/>
      <c r="F109" s="313"/>
      <c r="G109" s="313"/>
    </row>
    <row r="110" spans="1:7" ht="17.25" hidden="1" thickBot="1" thickTop="1">
      <c r="A110" s="29"/>
      <c r="B110" s="29"/>
      <c r="C110" s="30"/>
      <c r="D110" s="15"/>
      <c r="F110" s="313"/>
      <c r="G110" s="313"/>
    </row>
    <row r="111" spans="1:7" ht="17.25" hidden="1" thickBot="1" thickTop="1">
      <c r="A111" s="54"/>
      <c r="B111" s="54"/>
      <c r="C111" s="37"/>
      <c r="D111" s="13"/>
      <c r="F111" s="313"/>
      <c r="G111" s="313"/>
    </row>
    <row r="112" spans="1:7" ht="17.25" hidden="1" thickBot="1" thickTop="1">
      <c r="A112" s="55"/>
      <c r="B112" s="55"/>
      <c r="C112" s="47"/>
      <c r="D112" s="20"/>
      <c r="F112" s="313"/>
      <c r="G112" s="313"/>
    </row>
    <row r="113" spans="1:8" ht="17.25" hidden="1" thickBot="1" thickTop="1">
      <c r="A113" s="31"/>
      <c r="B113" s="31"/>
      <c r="C113" s="32"/>
      <c r="D113" s="140"/>
      <c r="F113" s="132"/>
      <c r="G113" s="132"/>
      <c r="H113" s="131"/>
    </row>
    <row r="114" spans="2:7" ht="17.25" hidden="1" thickBot="1" thickTop="1">
      <c r="B114" s="647"/>
      <c r="C114" s="648"/>
      <c r="D114" s="648"/>
      <c r="F114" s="313"/>
      <c r="G114" s="313"/>
    </row>
    <row r="115" spans="1:7" ht="17.25" hidden="1" thickBot="1" thickTop="1">
      <c r="A115" s="33"/>
      <c r="B115" s="33"/>
      <c r="C115" s="49"/>
      <c r="D115" s="304"/>
      <c r="F115" s="313"/>
      <c r="G115" s="313"/>
    </row>
    <row r="116" spans="1:7" ht="17.25" hidden="1" thickBot="1" thickTop="1">
      <c r="A116" s="36"/>
      <c r="B116" s="36"/>
      <c r="C116" s="50"/>
      <c r="D116" s="13"/>
      <c r="F116" s="313"/>
      <c r="G116" s="313"/>
    </row>
    <row r="117" spans="1:7" ht="17.25" hidden="1" thickBot="1" thickTop="1">
      <c r="A117" s="36"/>
      <c r="B117" s="36"/>
      <c r="C117" s="50"/>
      <c r="D117" s="302"/>
      <c r="F117" s="67"/>
      <c r="G117" s="139"/>
    </row>
    <row r="118" spans="1:7" ht="17.25" hidden="1" thickBot="1" thickTop="1">
      <c r="A118" s="36"/>
      <c r="B118" s="36"/>
      <c r="C118" s="50"/>
      <c r="D118" s="302"/>
      <c r="F118" s="67"/>
      <c r="G118" s="139"/>
    </row>
    <row r="119" spans="1:7" ht="17.25" hidden="1" thickBot="1" thickTop="1">
      <c r="A119" s="36"/>
      <c r="B119" s="36"/>
      <c r="C119" s="50"/>
      <c r="D119" s="13"/>
      <c r="F119" s="313"/>
      <c r="G119" s="313"/>
    </row>
    <row r="120" spans="1:7" ht="17.25" hidden="1" thickBot="1" thickTop="1">
      <c r="A120" s="36"/>
      <c r="B120" s="36"/>
      <c r="C120" s="50"/>
      <c r="D120" s="13"/>
      <c r="F120" s="313"/>
      <c r="G120" s="313"/>
    </row>
    <row r="121" spans="1:7" ht="17.25" hidden="1" thickBot="1" thickTop="1">
      <c r="A121" s="45"/>
      <c r="B121" s="45"/>
      <c r="C121" s="37"/>
      <c r="D121" s="20"/>
      <c r="F121" s="313"/>
      <c r="G121" s="313"/>
    </row>
    <row r="122" spans="1:7" ht="17.25" hidden="1" thickBot="1" thickTop="1">
      <c r="A122" s="45"/>
      <c r="B122" s="45"/>
      <c r="C122" s="56"/>
      <c r="D122" s="20"/>
      <c r="F122" s="313"/>
      <c r="G122" s="313"/>
    </row>
    <row r="123" spans="1:8" ht="17.25" hidden="1" thickBot="1" thickTop="1">
      <c r="A123" s="31"/>
      <c r="B123" s="31"/>
      <c r="C123" s="28"/>
      <c r="D123" s="140"/>
      <c r="F123" s="132"/>
      <c r="G123" s="313"/>
      <c r="H123" s="131"/>
    </row>
    <row r="124" spans="2:7" ht="17.25" customHeight="1" hidden="1" thickBot="1" thickTop="1">
      <c r="B124" s="647"/>
      <c r="C124" s="648"/>
      <c r="D124" s="648"/>
      <c r="F124" s="313"/>
      <c r="G124" s="313"/>
    </row>
    <row r="125" spans="1:7" ht="17.25" hidden="1" thickBot="1" thickTop="1">
      <c r="A125" s="21"/>
      <c r="B125" s="21"/>
      <c r="C125" s="34"/>
      <c r="D125" s="304"/>
      <c r="F125" s="313"/>
      <c r="G125" s="313"/>
    </row>
    <row r="126" spans="1:7" ht="17.25" hidden="1" thickBot="1" thickTop="1">
      <c r="A126" s="54"/>
      <c r="B126" s="54"/>
      <c r="C126" s="37"/>
      <c r="D126" s="13"/>
      <c r="F126" s="313"/>
      <c r="G126" s="313"/>
    </row>
    <row r="127" spans="1:7" ht="17.25" hidden="1" thickBot="1" thickTop="1">
      <c r="A127" s="54"/>
      <c r="B127" s="54"/>
      <c r="C127" s="37"/>
      <c r="D127" s="302"/>
      <c r="F127" s="67"/>
      <c r="G127" s="139"/>
    </row>
    <row r="128" spans="1:7" ht="17.25" hidden="1" thickBot="1" thickTop="1">
      <c r="A128" s="36"/>
      <c r="B128" s="36"/>
      <c r="C128" s="37"/>
      <c r="D128" s="302"/>
      <c r="F128" s="67"/>
      <c r="G128" s="139"/>
    </row>
    <row r="129" spans="1:7" ht="17.25" hidden="1" thickBot="1" thickTop="1">
      <c r="A129" s="36"/>
      <c r="B129" s="36"/>
      <c r="C129" s="50"/>
      <c r="D129" s="302"/>
      <c r="F129" s="313"/>
      <c r="G129" s="313"/>
    </row>
    <row r="130" spans="1:7" ht="17.25" hidden="1" thickBot="1" thickTop="1">
      <c r="A130" s="36"/>
      <c r="B130" s="36"/>
      <c r="C130" s="37"/>
      <c r="D130" s="13"/>
      <c r="F130" s="313"/>
      <c r="G130" s="313"/>
    </row>
    <row r="131" spans="1:7" ht="17.25" hidden="1" thickBot="1" thickTop="1">
      <c r="A131" s="36"/>
      <c r="B131" s="36"/>
      <c r="C131" s="37"/>
      <c r="D131" s="13"/>
      <c r="F131" s="313"/>
      <c r="G131" s="313"/>
    </row>
    <row r="132" spans="1:7" ht="17.25" hidden="1" thickBot="1" thickTop="1">
      <c r="A132" s="55"/>
      <c r="B132" s="55"/>
      <c r="C132" s="47"/>
      <c r="D132" s="20"/>
      <c r="F132" s="313"/>
      <c r="G132" s="313"/>
    </row>
    <row r="133" spans="1:12" ht="17.25" hidden="1" thickBot="1" thickTop="1">
      <c r="A133" s="31"/>
      <c r="B133" s="31"/>
      <c r="C133" s="32"/>
      <c r="D133" s="140"/>
      <c r="F133" s="132"/>
      <c r="G133" s="313"/>
      <c r="H133" s="131"/>
      <c r="K133" s="131"/>
      <c r="L133" s="131"/>
    </row>
    <row r="134" spans="2:7" ht="17.25" hidden="1" thickBot="1" thickTop="1">
      <c r="B134" s="647"/>
      <c r="C134" s="648"/>
      <c r="D134" s="648"/>
      <c r="F134" s="313"/>
      <c r="G134" s="313"/>
    </row>
    <row r="135" spans="1:11" ht="17.25" hidden="1" thickBot="1" thickTop="1">
      <c r="A135" s="36"/>
      <c r="B135" s="36"/>
      <c r="C135" s="50"/>
      <c r="D135" s="13"/>
      <c r="F135" s="132"/>
      <c r="G135" s="132"/>
      <c r="H135" s="131"/>
      <c r="I135" s="131"/>
      <c r="J135" s="131"/>
      <c r="K135" s="131"/>
    </row>
    <row r="136" spans="1:7" ht="17.25" hidden="1" thickBot="1" thickTop="1">
      <c r="A136" s="36"/>
      <c r="B136" s="36"/>
      <c r="C136" s="50"/>
      <c r="D136" s="13"/>
      <c r="F136" s="313"/>
      <c r="G136" s="313"/>
    </row>
    <row r="137" spans="1:7" ht="17.25" hidden="1" thickBot="1" thickTop="1">
      <c r="A137" s="36"/>
      <c r="B137" s="36"/>
      <c r="C137" s="50"/>
      <c r="D137" s="302"/>
      <c r="F137" s="313"/>
      <c r="G137" s="313"/>
    </row>
    <row r="138" spans="1:10" ht="17.25" hidden="1" thickBot="1" thickTop="1">
      <c r="A138" s="36"/>
      <c r="B138" s="36"/>
      <c r="C138" s="50"/>
      <c r="D138" s="13"/>
      <c r="F138" s="313"/>
      <c r="G138" s="313"/>
      <c r="I138" s="131"/>
      <c r="J138" s="131"/>
    </row>
    <row r="139" spans="1:10" ht="17.25" hidden="1" thickBot="1" thickTop="1">
      <c r="A139" s="36"/>
      <c r="B139" s="36"/>
      <c r="C139" s="50"/>
      <c r="D139" s="13"/>
      <c r="F139" s="313"/>
      <c r="G139" s="313"/>
      <c r="I139" s="131"/>
      <c r="J139" s="131"/>
    </row>
    <row r="140" spans="1:7" ht="17.25" hidden="1" thickBot="1" thickTop="1">
      <c r="A140" s="36"/>
      <c r="B140" s="36"/>
      <c r="C140" s="50"/>
      <c r="D140" s="13"/>
      <c r="F140" s="313"/>
      <c r="G140" s="313"/>
    </row>
    <row r="141" spans="1:7" ht="17.25" hidden="1" thickBot="1" thickTop="1">
      <c r="A141" s="29"/>
      <c r="B141" s="29"/>
      <c r="C141" s="57"/>
      <c r="D141" s="15"/>
      <c r="F141" s="313"/>
      <c r="G141" s="313"/>
    </row>
    <row r="142" spans="1:7" ht="17.25" hidden="1" thickBot="1" thickTop="1">
      <c r="A142" s="36"/>
      <c r="B142" s="36"/>
      <c r="C142" s="50"/>
      <c r="D142" s="13"/>
      <c r="F142" s="313"/>
      <c r="G142" s="313"/>
    </row>
    <row r="143" spans="1:10" ht="17.25" hidden="1" thickBot="1" thickTop="1">
      <c r="A143" s="38"/>
      <c r="B143" s="38"/>
      <c r="C143" s="52"/>
      <c r="D143" s="60"/>
      <c r="F143" s="132"/>
      <c r="G143" s="313"/>
      <c r="J143" s="131"/>
    </row>
    <row r="144" spans="1:10" ht="17.25" hidden="1" thickBot="1" thickTop="1">
      <c r="A144" s="40"/>
      <c r="B144" s="40"/>
      <c r="C144" s="53"/>
      <c r="D144" s="145"/>
      <c r="F144" s="132"/>
      <c r="G144" s="132"/>
      <c r="H144" s="131"/>
      <c r="I144" s="131"/>
      <c r="J144" s="131"/>
    </row>
    <row r="145" spans="2:7" ht="17.25" hidden="1" thickBot="1" thickTop="1">
      <c r="B145" s="647"/>
      <c r="C145" s="648"/>
      <c r="D145" s="648"/>
      <c r="F145" s="313"/>
      <c r="G145" s="313"/>
    </row>
    <row r="146" spans="1:7" ht="17.25" hidden="1" thickBot="1" thickTop="1">
      <c r="A146" s="33"/>
      <c r="B146" s="33"/>
      <c r="C146" s="34"/>
      <c r="D146" s="356"/>
      <c r="F146" s="313"/>
      <c r="G146" s="313"/>
    </row>
    <row r="147" spans="1:7" ht="17.25" hidden="1" thickBot="1" thickTop="1">
      <c r="A147" s="29"/>
      <c r="B147" s="29"/>
      <c r="C147" s="30"/>
      <c r="D147" s="357"/>
      <c r="F147" s="313"/>
      <c r="G147" s="313"/>
    </row>
    <row r="148" spans="1:7" ht="17.25" hidden="1" thickBot="1" thickTop="1">
      <c r="A148" s="36"/>
      <c r="B148" s="36"/>
      <c r="C148" s="37"/>
      <c r="D148" s="355"/>
      <c r="F148" s="313"/>
      <c r="G148" s="313"/>
    </row>
    <row r="149" spans="1:7" ht="17.25" hidden="1" thickBot="1" thickTop="1">
      <c r="A149" s="36"/>
      <c r="B149" s="36"/>
      <c r="C149" s="30"/>
      <c r="D149" s="355"/>
      <c r="F149" s="313"/>
      <c r="G149" s="313"/>
    </row>
    <row r="150" spans="1:7" ht="17.25" hidden="1" thickBot="1" thickTop="1">
      <c r="A150" s="36"/>
      <c r="B150" s="36"/>
      <c r="C150" s="37"/>
      <c r="D150" s="355"/>
      <c r="F150" s="313"/>
      <c r="G150" s="313"/>
    </row>
    <row r="151" spans="1:7" ht="17.25" hidden="1" thickBot="1" thickTop="1">
      <c r="A151" s="36"/>
      <c r="B151" s="36"/>
      <c r="C151" s="37"/>
      <c r="D151" s="355"/>
      <c r="F151" s="313"/>
      <c r="G151" s="313"/>
    </row>
    <row r="152" spans="1:7" ht="17.25" hidden="1" thickBot="1" thickTop="1">
      <c r="A152" s="36"/>
      <c r="B152" s="36"/>
      <c r="C152" s="37"/>
      <c r="D152" s="148"/>
      <c r="F152" s="313"/>
      <c r="G152" s="313"/>
    </row>
    <row r="153" spans="1:7" ht="17.25" hidden="1" thickBot="1" thickTop="1">
      <c r="A153" s="36"/>
      <c r="B153" s="36"/>
      <c r="C153" s="37"/>
      <c r="D153" s="127"/>
      <c r="F153" s="313"/>
      <c r="G153" s="313"/>
    </row>
    <row r="154" spans="1:7" ht="17.25" hidden="1" thickBot="1" thickTop="1">
      <c r="A154" s="51"/>
      <c r="B154" s="51"/>
      <c r="C154" s="50"/>
      <c r="D154" s="355"/>
      <c r="F154" s="313"/>
      <c r="G154" s="313"/>
    </row>
    <row r="155" spans="1:7" ht="17.25" hidden="1" thickBot="1" thickTop="1">
      <c r="A155" s="36"/>
      <c r="B155" s="36"/>
      <c r="C155" s="37"/>
      <c r="D155" s="127"/>
      <c r="F155" s="313"/>
      <c r="G155" s="313"/>
    </row>
    <row r="156" spans="1:7" ht="17.25" hidden="1" thickBot="1" thickTop="1">
      <c r="A156" s="36"/>
      <c r="B156" s="36"/>
      <c r="C156" s="37"/>
      <c r="D156" s="127"/>
      <c r="F156" s="313"/>
      <c r="G156" s="313"/>
    </row>
    <row r="157" spans="1:7" ht="17.25" hidden="1" thickBot="1" thickTop="1">
      <c r="A157" s="45"/>
      <c r="B157" s="45"/>
      <c r="C157" s="47"/>
      <c r="D157" s="148"/>
      <c r="F157" s="313"/>
      <c r="G157" s="313"/>
    </row>
    <row r="158" spans="1:12" ht="17.25" hidden="1" thickBot="1" thickTop="1">
      <c r="A158" s="31"/>
      <c r="B158" s="31"/>
      <c r="C158" s="32"/>
      <c r="D158" s="149"/>
      <c r="F158" s="132"/>
      <c r="G158" s="132"/>
      <c r="H158" s="131"/>
      <c r="K158" s="131"/>
      <c r="L158" s="131"/>
    </row>
    <row r="159" spans="2:7" ht="17.25" hidden="1" thickBot="1" thickTop="1">
      <c r="B159" s="647"/>
      <c r="C159" s="648"/>
      <c r="D159" s="648"/>
      <c r="F159" s="313"/>
      <c r="G159" s="313"/>
    </row>
    <row r="160" spans="1:7" ht="17.25" hidden="1" thickBot="1" thickTop="1">
      <c r="A160" s="36"/>
      <c r="B160" s="36"/>
      <c r="C160" s="50"/>
      <c r="D160" s="13"/>
      <c r="F160" s="313"/>
      <c r="G160" s="313"/>
    </row>
    <row r="161" spans="1:7" ht="17.25" hidden="1" thickBot="1" thickTop="1">
      <c r="A161" s="36"/>
      <c r="B161" s="36"/>
      <c r="C161" s="50"/>
      <c r="D161" s="302"/>
      <c r="F161" s="313"/>
      <c r="G161" s="313"/>
    </row>
    <row r="162" spans="1:7" ht="17.25" hidden="1" thickBot="1" thickTop="1">
      <c r="A162" s="36"/>
      <c r="B162" s="36"/>
      <c r="C162" s="50"/>
      <c r="D162" s="302"/>
      <c r="F162" s="313"/>
      <c r="G162" s="313"/>
    </row>
    <row r="163" spans="1:7" ht="17.25" hidden="1" thickBot="1" thickTop="1">
      <c r="A163" s="36"/>
      <c r="B163" s="36"/>
      <c r="C163" s="50"/>
      <c r="D163" s="302"/>
      <c r="F163" s="313"/>
      <c r="G163" s="313"/>
    </row>
    <row r="164" spans="1:7" ht="17.25" hidden="1" thickBot="1" thickTop="1">
      <c r="A164" s="36"/>
      <c r="B164" s="36"/>
      <c r="C164" s="50"/>
      <c r="D164" s="302"/>
      <c r="F164" s="313"/>
      <c r="G164" s="313"/>
    </row>
    <row r="165" spans="1:4" ht="17.25" hidden="1" thickBot="1" thickTop="1">
      <c r="A165" s="29"/>
      <c r="B165" s="29"/>
      <c r="C165" s="57"/>
      <c r="D165" s="15"/>
    </row>
    <row r="166" spans="1:4" ht="17.25" hidden="1" thickBot="1" thickTop="1">
      <c r="A166" s="45"/>
      <c r="B166" s="45"/>
      <c r="C166" s="50"/>
      <c r="D166" s="20"/>
    </row>
    <row r="167" spans="1:4" ht="17.25" hidden="1" thickBot="1" thickTop="1">
      <c r="A167" s="36"/>
      <c r="B167" s="36"/>
      <c r="C167" s="50"/>
      <c r="D167" s="13"/>
    </row>
    <row r="168" spans="1:4" ht="17.25" hidden="1" thickBot="1" thickTop="1">
      <c r="A168" s="60"/>
      <c r="B168" s="60"/>
      <c r="C168" s="61"/>
      <c r="D168" s="60"/>
    </row>
    <row r="169" spans="1:12" ht="17.25" hidden="1" thickBot="1" thickTop="1">
      <c r="A169" s="31"/>
      <c r="B169" s="31"/>
      <c r="C169" s="28"/>
      <c r="D169" s="140"/>
      <c r="F169" s="131"/>
      <c r="G169" s="131"/>
      <c r="H169" s="131"/>
      <c r="K169" s="131"/>
      <c r="L169" s="131"/>
    </row>
    <row r="170" spans="2:12" ht="17.25" hidden="1" thickBot="1" thickTop="1">
      <c r="B170" s="647"/>
      <c r="C170" s="648"/>
      <c r="D170" s="648"/>
      <c r="F170" s="131"/>
      <c r="G170" s="131"/>
      <c r="H170" s="131"/>
      <c r="K170" s="131"/>
      <c r="L170" s="131"/>
    </row>
    <row r="171" spans="1:12" ht="17.25" hidden="1" thickBot="1" thickTop="1">
      <c r="A171" s="36"/>
      <c r="B171" s="36"/>
      <c r="C171" s="50"/>
      <c r="D171" s="302"/>
      <c r="F171" s="131"/>
      <c r="G171" s="131"/>
      <c r="H171" s="131"/>
      <c r="K171" s="131"/>
      <c r="L171" s="131"/>
    </row>
    <row r="172" spans="1:12" ht="17.25" hidden="1" thickBot="1" thickTop="1">
      <c r="A172" s="36"/>
      <c r="B172" s="36"/>
      <c r="C172" s="50"/>
      <c r="D172" s="13"/>
      <c r="F172" s="131"/>
      <c r="G172" s="131"/>
      <c r="H172" s="131"/>
      <c r="K172" s="131"/>
      <c r="L172" s="131"/>
    </row>
    <row r="173" spans="1:12" ht="17.25" hidden="1" thickBot="1" thickTop="1">
      <c r="A173" s="29"/>
      <c r="B173" s="29"/>
      <c r="C173" s="57"/>
      <c r="D173" s="15"/>
      <c r="F173" s="131"/>
      <c r="G173" s="131"/>
      <c r="H173" s="131"/>
      <c r="K173" s="131"/>
      <c r="L173" s="131"/>
    </row>
    <row r="174" spans="1:12" ht="17.25" hidden="1" thickBot="1" thickTop="1">
      <c r="A174" s="36"/>
      <c r="B174" s="36"/>
      <c r="C174" s="50"/>
      <c r="D174" s="13"/>
      <c r="F174" s="131"/>
      <c r="G174" s="131"/>
      <c r="H174" s="131"/>
      <c r="K174" s="131"/>
      <c r="L174" s="131"/>
    </row>
    <row r="175" spans="1:12" ht="17.25" hidden="1" thickBot="1" thickTop="1">
      <c r="A175" s="38"/>
      <c r="B175" s="38"/>
      <c r="C175" s="52"/>
      <c r="D175" s="60"/>
      <c r="F175" s="131"/>
      <c r="G175" s="131"/>
      <c r="H175" s="131"/>
      <c r="K175" s="131"/>
      <c r="L175" s="131"/>
    </row>
    <row r="176" spans="1:12" ht="17.25" hidden="1" thickBot="1" thickTop="1">
      <c r="A176" s="40"/>
      <c r="B176" s="40"/>
      <c r="C176" s="53"/>
      <c r="D176" s="145"/>
      <c r="E176" s="301"/>
      <c r="F176" s="131"/>
      <c r="G176" s="131"/>
      <c r="H176" s="131"/>
      <c r="K176" s="131"/>
      <c r="L176" s="131"/>
    </row>
    <row r="177" spans="1:12" ht="17.25" customHeight="1" thickBot="1" thickTop="1">
      <c r="A177" s="648" t="s">
        <v>251</v>
      </c>
      <c r="B177" s="648"/>
      <c r="C177" s="648"/>
      <c r="D177" s="648"/>
      <c r="F177" s="131"/>
      <c r="G177" s="131"/>
      <c r="H177" s="131"/>
      <c r="K177" s="131"/>
      <c r="L177" s="131"/>
    </row>
    <row r="178" spans="1:12" ht="16.5" thickTop="1">
      <c r="A178" s="36">
        <v>52</v>
      </c>
      <c r="B178" s="36"/>
      <c r="C178" s="50" t="s">
        <v>2</v>
      </c>
      <c r="D178" s="302">
        <f>5+7</f>
        <v>12</v>
      </c>
      <c r="F178" s="131"/>
      <c r="G178" s="131"/>
      <c r="H178" s="131"/>
      <c r="K178" s="131"/>
      <c r="L178" s="131"/>
    </row>
    <row r="179" spans="1:12" ht="16.5" thickBot="1">
      <c r="A179" s="40"/>
      <c r="B179" s="40"/>
      <c r="C179" s="53" t="s">
        <v>7</v>
      </c>
      <c r="D179" s="145">
        <f>SUM(D178:D178)</f>
        <v>12</v>
      </c>
      <c r="F179" s="131"/>
      <c r="G179" s="131"/>
      <c r="H179" s="131"/>
      <c r="K179" s="131"/>
      <c r="L179" s="131"/>
    </row>
    <row r="180" spans="1:12" ht="17.25" customHeight="1" hidden="1" thickBot="1" thickTop="1">
      <c r="A180" s="648" t="s">
        <v>296</v>
      </c>
      <c r="B180" s="648"/>
      <c r="C180" s="648"/>
      <c r="D180" s="648"/>
      <c r="F180" s="131"/>
      <c r="G180" s="131"/>
      <c r="H180" s="131"/>
      <c r="K180" s="131"/>
      <c r="L180" s="131"/>
    </row>
    <row r="181" spans="1:12" ht="17.25" hidden="1" thickBot="1" thickTop="1">
      <c r="A181" s="36">
        <v>30</v>
      </c>
      <c r="B181" s="36"/>
      <c r="C181" s="418" t="s">
        <v>72</v>
      </c>
      <c r="D181" s="13"/>
      <c r="F181" s="131"/>
      <c r="G181" s="131"/>
      <c r="H181" s="131"/>
      <c r="K181" s="131"/>
      <c r="L181" s="131"/>
    </row>
    <row r="182" spans="1:12" ht="17.25" hidden="1" thickBot="1" thickTop="1">
      <c r="A182" s="40"/>
      <c r="B182" s="40"/>
      <c r="C182" s="53" t="s">
        <v>7</v>
      </c>
      <c r="D182" s="145">
        <f>D181</f>
        <v>0</v>
      </c>
      <c r="F182" s="131"/>
      <c r="G182" s="131"/>
      <c r="H182" s="131"/>
      <c r="K182" s="131"/>
      <c r="L182" s="131"/>
    </row>
    <row r="183" spans="1:12" ht="32.25" customHeight="1" thickBot="1" thickTop="1">
      <c r="A183" s="648" t="s">
        <v>375</v>
      </c>
      <c r="B183" s="648"/>
      <c r="C183" s="648"/>
      <c r="D183" s="648"/>
      <c r="F183" s="131"/>
      <c r="G183" s="131"/>
      <c r="H183" s="131"/>
      <c r="K183" s="131"/>
      <c r="L183" s="131"/>
    </row>
    <row r="184" spans="1:12" ht="32.25" thickTop="1">
      <c r="A184" s="21"/>
      <c r="B184" s="21"/>
      <c r="C184" s="22" t="s">
        <v>177</v>
      </c>
      <c r="D184" s="493">
        <v>1780</v>
      </c>
      <c r="F184" s="131"/>
      <c r="G184" s="131"/>
      <c r="H184" s="131"/>
      <c r="K184" s="131"/>
      <c r="L184" s="131"/>
    </row>
    <row r="185" spans="1:12" ht="15.75">
      <c r="A185" s="163"/>
      <c r="B185" s="163"/>
      <c r="C185" s="158" t="s">
        <v>171</v>
      </c>
      <c r="D185" s="494">
        <v>53</v>
      </c>
      <c r="F185" s="131"/>
      <c r="G185" s="131"/>
      <c r="H185" s="131"/>
      <c r="K185" s="131"/>
      <c r="L185" s="131"/>
    </row>
    <row r="186" spans="1:12" ht="16.5" thickBot="1">
      <c r="A186" s="40"/>
      <c r="B186" s="40"/>
      <c r="C186" s="121" t="s">
        <v>176</v>
      </c>
      <c r="D186" s="495">
        <v>130</v>
      </c>
      <c r="F186" s="131"/>
      <c r="G186" s="131"/>
      <c r="H186" s="131"/>
      <c r="K186" s="131"/>
      <c r="L186" s="131"/>
    </row>
    <row r="187" spans="1:8" ht="16.5" thickTop="1">
      <c r="A187" s="33"/>
      <c r="B187" s="33"/>
      <c r="C187" s="22" t="s">
        <v>175</v>
      </c>
      <c r="D187" s="130">
        <f>D169+D158+D144+D133+D123+D113+D102+D93+D90+D83+D67+D59+D176+D184+D179+D182</f>
        <v>22867</v>
      </c>
      <c r="E187" s="295">
        <f>22137+730</f>
        <v>22867</v>
      </c>
      <c r="F187" s="131">
        <f>E187-D187</f>
        <v>0</v>
      </c>
      <c r="G187" s="131"/>
      <c r="H187" s="131"/>
    </row>
    <row r="188" spans="1:8" ht="15.75">
      <c r="A188" s="63"/>
      <c r="B188" s="63"/>
      <c r="C188" s="158" t="s">
        <v>171</v>
      </c>
      <c r="D188" s="150">
        <f>D68+D60+D185</f>
        <v>1157</v>
      </c>
      <c r="E188" s="131">
        <v>1157</v>
      </c>
      <c r="F188" s="131">
        <f>E188-D188</f>
        <v>0</v>
      </c>
      <c r="G188" s="131"/>
      <c r="H188" s="131"/>
    </row>
    <row r="189" spans="1:8" ht="15.75">
      <c r="A189" s="63"/>
      <c r="B189" s="63"/>
      <c r="C189" s="64" t="s">
        <v>176</v>
      </c>
      <c r="D189" s="151">
        <f>D153+D154+D111+D75+D31+D186+D181+D32+D33</f>
        <v>730</v>
      </c>
      <c r="E189" s="131">
        <v>730</v>
      </c>
      <c r="F189" s="131">
        <f>E189-D189</f>
        <v>0</v>
      </c>
      <c r="G189" s="131"/>
      <c r="H189" s="131"/>
    </row>
    <row r="190" spans="1:10" ht="16.5" thickBot="1">
      <c r="A190" s="23"/>
      <c r="B190" s="23"/>
      <c r="C190" s="121" t="s">
        <v>170</v>
      </c>
      <c r="D190" s="152">
        <f>D61</f>
        <v>460</v>
      </c>
      <c r="E190" s="131"/>
      <c r="F190" s="131"/>
      <c r="G190" s="131"/>
      <c r="H190" s="131"/>
      <c r="I190" s="131"/>
      <c r="J190" s="131"/>
    </row>
    <row r="191" spans="1:6" s="154" customFormat="1" ht="16.5" thickTop="1">
      <c r="A191" s="65"/>
      <c r="B191" s="65"/>
      <c r="C191" s="66"/>
      <c r="D191" s="65"/>
      <c r="E191" s="65"/>
      <c r="F191" s="153"/>
    </row>
    <row r="192" spans="1:6" s="154" customFormat="1" ht="15.75">
      <c r="A192" s="65"/>
      <c r="B192" s="65"/>
      <c r="C192" s="9" t="s">
        <v>62</v>
      </c>
      <c r="D192" s="168">
        <f>D85</f>
        <v>104</v>
      </c>
      <c r="E192" s="65"/>
      <c r="F192" s="153"/>
    </row>
    <row r="193" spans="1:5" ht="15.75">
      <c r="A193" s="67"/>
      <c r="B193" s="67"/>
      <c r="C193" s="9" t="s">
        <v>233</v>
      </c>
      <c r="D193" s="168">
        <f>D8+D9+D10+D86+D87+D88</f>
        <v>3956</v>
      </c>
      <c r="E193" s="65"/>
    </row>
    <row r="194" spans="1:5" ht="15.75">
      <c r="A194" s="67"/>
      <c r="B194" s="67"/>
      <c r="C194" s="9" t="s">
        <v>15</v>
      </c>
      <c r="D194" s="168">
        <f>D11</f>
        <v>369</v>
      </c>
      <c r="E194" s="65"/>
    </row>
    <row r="195" spans="1:5" ht="15.75">
      <c r="A195" s="67"/>
      <c r="B195" s="67"/>
      <c r="C195" s="9" t="s">
        <v>16</v>
      </c>
      <c r="D195" s="168">
        <f>D12</f>
        <v>186</v>
      </c>
      <c r="E195" s="65"/>
    </row>
    <row r="196" spans="1:4" ht="15.75">
      <c r="A196" s="68"/>
      <c r="B196" s="68"/>
      <c r="C196" s="9" t="s">
        <v>85</v>
      </c>
      <c r="D196" s="168">
        <f>D13</f>
        <v>39</v>
      </c>
    </row>
    <row r="197" spans="1:4" ht="15.75">
      <c r="A197" s="67"/>
      <c r="B197" s="67"/>
      <c r="C197" s="9" t="s">
        <v>50</v>
      </c>
      <c r="D197" s="168">
        <f>D14+D15</f>
        <v>306</v>
      </c>
    </row>
    <row r="198" spans="1:4" ht="15.75">
      <c r="A198" s="155"/>
      <c r="B198" s="155"/>
      <c r="C198" s="9" t="s">
        <v>28</v>
      </c>
      <c r="D198" s="168">
        <f>D16+D17+D74</f>
        <v>2457</v>
      </c>
    </row>
    <row r="199" spans="1:4" ht="15.75">
      <c r="A199" s="155"/>
      <c r="B199" s="155"/>
      <c r="C199" s="9" t="s">
        <v>17</v>
      </c>
      <c r="D199" s="168">
        <f>D18+D71</f>
        <v>962</v>
      </c>
    </row>
    <row r="200" spans="1:4" ht="15.75">
      <c r="A200" s="156"/>
      <c r="B200" s="156"/>
      <c r="C200" s="9" t="s">
        <v>72</v>
      </c>
      <c r="D200" s="168">
        <f>D181+D31+D75+D32+D33</f>
        <v>600</v>
      </c>
    </row>
    <row r="201" spans="1:4" ht="15.75">
      <c r="A201" s="156"/>
      <c r="B201" s="156"/>
      <c r="C201" s="9" t="s">
        <v>26</v>
      </c>
      <c r="D201" s="168">
        <f>D34+D76</f>
        <v>926</v>
      </c>
    </row>
    <row r="202" spans="1:4" ht="15.75">
      <c r="A202" s="156"/>
      <c r="B202" s="156"/>
      <c r="C202" s="9" t="s">
        <v>37</v>
      </c>
      <c r="D202" s="168">
        <f>D35+D77</f>
        <v>381</v>
      </c>
    </row>
    <row r="203" spans="1:4" ht="15.75">
      <c r="A203" s="156"/>
      <c r="B203" s="156"/>
      <c r="C203" s="9" t="s">
        <v>18</v>
      </c>
      <c r="D203" s="168">
        <f>D36</f>
        <v>394</v>
      </c>
    </row>
    <row r="204" spans="1:4" ht="15.75">
      <c r="A204" s="156"/>
      <c r="B204" s="156"/>
      <c r="C204" s="9" t="s">
        <v>67</v>
      </c>
      <c r="D204" s="168">
        <f>D79+D89</f>
        <v>425</v>
      </c>
    </row>
    <row r="205" spans="1:4" ht="15.75">
      <c r="A205" s="156"/>
      <c r="B205" s="156"/>
      <c r="C205" s="9" t="s">
        <v>234</v>
      </c>
      <c r="D205" s="168">
        <f>D37+D38+D39</f>
        <v>1104</v>
      </c>
    </row>
    <row r="206" spans="1:4" ht="15.75">
      <c r="A206" s="156"/>
      <c r="B206" s="156"/>
      <c r="C206" s="9" t="s">
        <v>359</v>
      </c>
      <c r="D206" s="168">
        <f>D40</f>
        <v>376</v>
      </c>
    </row>
    <row r="207" spans="1:4" ht="15.75">
      <c r="A207" s="156"/>
      <c r="B207" s="156"/>
      <c r="C207" s="9" t="s">
        <v>19</v>
      </c>
      <c r="D207" s="168">
        <f>D41+D178</f>
        <v>457</v>
      </c>
    </row>
    <row r="208" spans="1:4" ht="15.75">
      <c r="A208" s="156"/>
      <c r="B208" s="156"/>
      <c r="C208" s="9" t="s">
        <v>24</v>
      </c>
      <c r="D208" s="168">
        <f>D42+D80</f>
        <v>1128</v>
      </c>
    </row>
    <row r="209" spans="1:4" ht="15.75">
      <c r="A209" s="156"/>
      <c r="B209" s="156"/>
      <c r="C209" s="9" t="s">
        <v>20</v>
      </c>
      <c r="D209" s="168">
        <f>D43+D78</f>
        <v>536</v>
      </c>
    </row>
    <row r="210" spans="1:4" ht="15.75">
      <c r="A210" s="156"/>
      <c r="B210" s="156"/>
      <c r="C210" s="9" t="s">
        <v>52</v>
      </c>
      <c r="D210" s="168">
        <f>D44</f>
        <v>15</v>
      </c>
    </row>
    <row r="211" spans="1:4" ht="15.75">
      <c r="A211" s="156"/>
      <c r="B211" s="156"/>
      <c r="C211" s="9" t="s">
        <v>27</v>
      </c>
      <c r="D211" s="168">
        <f>D45</f>
        <v>266</v>
      </c>
    </row>
    <row r="212" spans="1:4" ht="15.75">
      <c r="A212" s="156"/>
      <c r="B212" s="156"/>
      <c r="C212" s="9" t="s">
        <v>21</v>
      </c>
      <c r="D212" s="168">
        <f>D46</f>
        <v>1536</v>
      </c>
    </row>
    <row r="213" spans="1:4" ht="15.75">
      <c r="A213" s="156"/>
      <c r="B213" s="156"/>
      <c r="C213" s="9" t="s">
        <v>68</v>
      </c>
      <c r="D213" s="168">
        <f>D47+D53+D81</f>
        <v>1132</v>
      </c>
    </row>
    <row r="214" spans="1:4" ht="15.75">
      <c r="A214" s="156"/>
      <c r="B214" s="156"/>
      <c r="C214" s="9" t="s">
        <v>49</v>
      </c>
      <c r="D214" s="168">
        <f>D54+D72</f>
        <v>645</v>
      </c>
    </row>
    <row r="215" spans="1:4" ht="15.75">
      <c r="A215" s="156"/>
      <c r="B215" s="156"/>
      <c r="C215" s="9" t="s">
        <v>29</v>
      </c>
      <c r="D215" s="168">
        <f>D55+D70</f>
        <v>2374</v>
      </c>
    </row>
    <row r="216" spans="1:4" ht="15.75">
      <c r="A216" s="156"/>
      <c r="B216" s="156"/>
      <c r="C216" s="9" t="s">
        <v>69</v>
      </c>
      <c r="D216" s="168">
        <f>D82+D56</f>
        <v>60</v>
      </c>
    </row>
    <row r="217" spans="1:4" ht="15.75">
      <c r="A217" s="156"/>
      <c r="B217" s="156"/>
      <c r="C217" s="9" t="s">
        <v>39</v>
      </c>
      <c r="D217" s="168">
        <f>D57</f>
        <v>100</v>
      </c>
    </row>
    <row r="218" spans="1:4" ht="15.75">
      <c r="A218" s="156"/>
      <c r="B218" s="156"/>
      <c r="C218" s="9" t="s">
        <v>22</v>
      </c>
      <c r="D218" s="168">
        <f>D58+D73</f>
        <v>253</v>
      </c>
    </row>
    <row r="219" spans="1:6" ht="15.75">
      <c r="A219" s="156"/>
      <c r="B219" s="156"/>
      <c r="C219" s="112" t="s">
        <v>235</v>
      </c>
      <c r="D219" s="203">
        <f>SUM(D192:D218)</f>
        <v>21087</v>
      </c>
      <c r="E219" s="295">
        <f>D187-D184</f>
        <v>21087</v>
      </c>
      <c r="F219" s="295">
        <f>E219-D219</f>
        <v>0</v>
      </c>
    </row>
    <row r="220" spans="1:4" ht="15">
      <c r="A220" s="156"/>
      <c r="B220" s="156"/>
      <c r="C220" s="156"/>
      <c r="D220" s="156"/>
    </row>
    <row r="221" spans="1:4" ht="15">
      <c r="A221" s="156"/>
      <c r="B221" s="156"/>
      <c r="C221" s="156"/>
      <c r="D221" s="156"/>
    </row>
    <row r="222" spans="1:4" ht="15">
      <c r="A222" s="156"/>
      <c r="B222" s="156"/>
      <c r="C222" s="156"/>
      <c r="D222" s="156"/>
    </row>
    <row r="223" spans="1:4" ht="15">
      <c r="A223" s="156"/>
      <c r="B223" s="156"/>
      <c r="C223" s="156"/>
      <c r="D223" s="156"/>
    </row>
    <row r="224" spans="1:4" ht="15">
      <c r="A224" s="156"/>
      <c r="B224" s="156"/>
      <c r="C224" s="156"/>
      <c r="D224" s="156"/>
    </row>
    <row r="225" spans="1:4" ht="15">
      <c r="A225" s="156"/>
      <c r="B225" s="156"/>
      <c r="C225" s="156"/>
      <c r="D225" s="156"/>
    </row>
    <row r="226" spans="1:4" ht="15">
      <c r="A226" s="156"/>
      <c r="B226" s="156"/>
      <c r="C226" s="156"/>
      <c r="D226" s="156"/>
    </row>
    <row r="227" spans="1:4" ht="15">
      <c r="A227" s="156"/>
      <c r="B227" s="156"/>
      <c r="C227" s="156"/>
      <c r="D227" s="156"/>
    </row>
    <row r="228" spans="1:4" ht="15">
      <c r="A228" s="156"/>
      <c r="B228" s="156"/>
      <c r="C228" s="156"/>
      <c r="D228" s="156"/>
    </row>
    <row r="229" spans="1:4" ht="15">
      <c r="A229" s="156"/>
      <c r="B229" s="156"/>
      <c r="C229" s="156"/>
      <c r="D229" s="156"/>
    </row>
    <row r="230" spans="1:4" ht="15">
      <c r="A230" s="156"/>
      <c r="B230" s="156"/>
      <c r="C230" s="156"/>
      <c r="D230" s="156"/>
    </row>
    <row r="231" spans="1:4" ht="15">
      <c r="A231" s="156"/>
      <c r="B231" s="156"/>
      <c r="C231" s="156"/>
      <c r="D231" s="156"/>
    </row>
    <row r="232" spans="1:4" ht="15">
      <c r="A232" s="156"/>
      <c r="B232" s="156"/>
      <c r="C232" s="156"/>
      <c r="D232" s="156"/>
    </row>
    <row r="233" spans="1:4" ht="15">
      <c r="A233" s="156"/>
      <c r="B233" s="156"/>
      <c r="C233" s="156"/>
      <c r="D233" s="156"/>
    </row>
    <row r="234" spans="1:4" ht="15">
      <c r="A234" s="156"/>
      <c r="B234" s="156"/>
      <c r="C234" s="156"/>
      <c r="D234" s="156"/>
    </row>
    <row r="235" spans="1:4" ht="15">
      <c r="A235" s="156"/>
      <c r="B235" s="156"/>
      <c r="C235" s="156"/>
      <c r="D235" s="156"/>
    </row>
    <row r="236" spans="1:4" ht="15">
      <c r="A236" s="156"/>
      <c r="B236" s="156"/>
      <c r="C236" s="156"/>
      <c r="D236" s="156"/>
    </row>
  </sheetData>
  <sheetProtection/>
  <mergeCells count="20">
    <mergeCell ref="B4:D4"/>
    <mergeCell ref="B124:D124"/>
    <mergeCell ref="B145:D145"/>
    <mergeCell ref="B62:D62"/>
    <mergeCell ref="B94:D94"/>
    <mergeCell ref="B159:D159"/>
    <mergeCell ref="B134:D134"/>
    <mergeCell ref="B91:D91"/>
    <mergeCell ref="B49:B51"/>
    <mergeCell ref="B114:D114"/>
    <mergeCell ref="B170:D170"/>
    <mergeCell ref="A183:D183"/>
    <mergeCell ref="A49:A51"/>
    <mergeCell ref="A7:D7"/>
    <mergeCell ref="A69:D69"/>
    <mergeCell ref="A84:D84"/>
    <mergeCell ref="A177:D177"/>
    <mergeCell ref="A180:D180"/>
    <mergeCell ref="D49:D51"/>
    <mergeCell ref="B103:D103"/>
  </mergeCells>
  <printOptions/>
  <pageMargins left="0.7874015748031497" right="0.1968503937007874" top="0.7480314960629921" bottom="0.35433070866141736" header="0.31496062992125984" footer="0.31496062992125984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Q204"/>
  <sheetViews>
    <sheetView tabSelected="1" view="pageBreakPreview" zoomScale="85" zoomScaleSheetLayoutView="85" zoomScalePageLayoutView="0" workbookViewId="0" topLeftCell="A1">
      <pane ySplit="8" topLeftCell="A17" activePane="bottomLeft" state="frozen"/>
      <selection pane="topLeft" activeCell="A1" sqref="A1"/>
      <selection pane="bottomLeft" activeCell="M21" sqref="M21"/>
    </sheetView>
  </sheetViews>
  <sheetFormatPr defaultColWidth="9.140625" defaultRowHeight="12.75"/>
  <cols>
    <col min="1" max="1" width="8.7109375" style="126" customWidth="1"/>
    <col min="2" max="2" width="35.8515625" style="126" customWidth="1"/>
    <col min="3" max="3" width="14.7109375" style="126" customWidth="1"/>
    <col min="4" max="4" width="17.421875" style="126" customWidth="1"/>
    <col min="5" max="5" width="14.7109375" style="126" customWidth="1"/>
    <col min="6" max="6" width="21.140625" style="164" customWidth="1"/>
    <col min="7" max="7" width="9.140625" style="126" customWidth="1"/>
    <col min="8" max="8" width="15.00390625" style="126" customWidth="1"/>
    <col min="9" max="16384" width="9.140625" style="126" customWidth="1"/>
  </cols>
  <sheetData>
    <row r="1" ht="15.75">
      <c r="F1" s="427" t="s">
        <v>299</v>
      </c>
    </row>
    <row r="3" spans="1:6" s="124" customFormat="1" ht="46.5" customHeight="1">
      <c r="A3" s="656" t="str">
        <f>'1. АМП'!A5:E5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656"/>
      <c r="C3" s="656"/>
      <c r="D3" s="656"/>
      <c r="E3" s="656"/>
      <c r="F3" s="656"/>
    </row>
    <row r="4" spans="1:6" s="124" customFormat="1" ht="19.5" customHeight="1">
      <c r="A4" s="125"/>
      <c r="B4" s="125"/>
      <c r="C4" s="125"/>
      <c r="D4" s="125"/>
      <c r="E4" s="125"/>
      <c r="F4" s="125"/>
    </row>
    <row r="5" spans="1:6" s="124" customFormat="1" ht="22.5" customHeight="1">
      <c r="A5" s="657" t="s">
        <v>304</v>
      </c>
      <c r="B5" s="657"/>
      <c r="C5" s="657"/>
      <c r="D5" s="657"/>
      <c r="E5" s="657"/>
      <c r="F5" s="657"/>
    </row>
    <row r="6" ht="16.5" thickBot="1"/>
    <row r="7" spans="1:6" ht="20.25" customHeight="1" thickTop="1">
      <c r="A7" s="658" t="s">
        <v>358</v>
      </c>
      <c r="B7" s="660" t="s">
        <v>86</v>
      </c>
      <c r="C7" s="664" t="s">
        <v>181</v>
      </c>
      <c r="D7" s="665"/>
      <c r="E7" s="665"/>
      <c r="F7" s="662" t="s">
        <v>182</v>
      </c>
    </row>
    <row r="8" spans="1:6" ht="67.5" customHeight="1" thickBot="1">
      <c r="A8" s="659"/>
      <c r="B8" s="661"/>
      <c r="C8" s="165" t="s">
        <v>178</v>
      </c>
      <c r="D8" s="166" t="s">
        <v>179</v>
      </c>
      <c r="E8" s="202" t="s">
        <v>180</v>
      </c>
      <c r="F8" s="663"/>
    </row>
    <row r="9" spans="1:6" ht="21.75" customHeight="1" thickBot="1" thickTop="1">
      <c r="A9" s="647" t="s">
        <v>253</v>
      </c>
      <c r="B9" s="648"/>
      <c r="C9" s="648"/>
      <c r="D9" s="648"/>
      <c r="E9" s="648"/>
      <c r="F9" s="648"/>
    </row>
    <row r="10" spans="1:6" ht="33.75" customHeight="1" thickTop="1">
      <c r="A10" s="221">
        <v>6</v>
      </c>
      <c r="B10" s="14" t="s">
        <v>231</v>
      </c>
      <c r="C10" s="420">
        <v>321</v>
      </c>
      <c r="D10" s="305"/>
      <c r="E10" s="305"/>
      <c r="F10" s="203">
        <f>C10+D10+E10</f>
        <v>321</v>
      </c>
    </row>
    <row r="11" spans="1:6" ht="30.75" customHeight="1">
      <c r="A11" s="221">
        <v>5</v>
      </c>
      <c r="B11" s="14" t="s">
        <v>230</v>
      </c>
      <c r="C11" s="491">
        <v>0</v>
      </c>
      <c r="D11" s="305"/>
      <c r="E11" s="305"/>
      <c r="F11" s="203">
        <f>C11+D11+E11</f>
        <v>0</v>
      </c>
    </row>
    <row r="12" spans="1:17" ht="15.75">
      <c r="A12" s="221">
        <v>15</v>
      </c>
      <c r="B12" s="14" t="s">
        <v>16</v>
      </c>
      <c r="C12" s="420">
        <v>69</v>
      </c>
      <c r="D12" s="305"/>
      <c r="E12" s="305"/>
      <c r="F12" s="203">
        <f>C12+D12+E12</f>
        <v>69</v>
      </c>
      <c r="Q12" s="126" t="s">
        <v>59</v>
      </c>
    </row>
    <row r="13" spans="1:6" ht="15.75">
      <c r="A13" s="221">
        <v>15</v>
      </c>
      <c r="B13" s="416" t="s">
        <v>294</v>
      </c>
      <c r="C13" s="421">
        <v>7</v>
      </c>
      <c r="D13" s="305"/>
      <c r="E13" s="305"/>
      <c r="F13" s="203">
        <f>C13+D13+E13</f>
        <v>7</v>
      </c>
    </row>
    <row r="14" spans="1:6" ht="15.75">
      <c r="A14" s="221">
        <v>17</v>
      </c>
      <c r="B14" s="14" t="s">
        <v>50</v>
      </c>
      <c r="C14" s="420">
        <v>160</v>
      </c>
      <c r="D14" s="305"/>
      <c r="E14" s="305"/>
      <c r="F14" s="116">
        <f aca="true" t="shared" si="0" ref="F14:F32">C14+D14+E14</f>
        <v>160</v>
      </c>
    </row>
    <row r="15" spans="1:6" ht="18.75" customHeight="1">
      <c r="A15" s="221">
        <v>17</v>
      </c>
      <c r="B15" s="14" t="s">
        <v>53</v>
      </c>
      <c r="C15" s="420">
        <v>41</v>
      </c>
      <c r="D15" s="305"/>
      <c r="E15" s="305"/>
      <c r="F15" s="116">
        <f t="shared" si="0"/>
        <v>41</v>
      </c>
    </row>
    <row r="16" spans="1:6" ht="16.5" thickTop="1">
      <c r="A16" s="221">
        <v>26</v>
      </c>
      <c r="B16" s="16" t="s">
        <v>17</v>
      </c>
      <c r="C16" s="500">
        <v>70</v>
      </c>
      <c r="D16" s="307"/>
      <c r="E16" s="307"/>
      <c r="F16" s="169">
        <f t="shared" si="0"/>
        <v>70</v>
      </c>
    </row>
    <row r="17" spans="1:6" ht="15.75">
      <c r="A17" s="221">
        <v>30</v>
      </c>
      <c r="B17" s="14" t="s">
        <v>72</v>
      </c>
      <c r="C17" s="420">
        <v>0</v>
      </c>
      <c r="D17" s="305"/>
      <c r="E17" s="305"/>
      <c r="F17" s="116">
        <f t="shared" si="0"/>
        <v>0</v>
      </c>
    </row>
    <row r="18" spans="1:6" ht="15.75">
      <c r="A18" s="221">
        <v>30</v>
      </c>
      <c r="B18" s="14" t="s">
        <v>295</v>
      </c>
      <c r="C18" s="420">
        <v>0</v>
      </c>
      <c r="D18" s="305"/>
      <c r="E18" s="305"/>
      <c r="F18" s="116">
        <f t="shared" si="0"/>
        <v>0</v>
      </c>
    </row>
    <row r="19" spans="1:7" ht="15.75">
      <c r="A19" s="221">
        <v>34</v>
      </c>
      <c r="B19" s="14" t="s">
        <v>26</v>
      </c>
      <c r="C19" s="420">
        <v>145</v>
      </c>
      <c r="D19" s="305"/>
      <c r="E19" s="305"/>
      <c r="F19" s="116">
        <f t="shared" si="0"/>
        <v>145</v>
      </c>
      <c r="G19" s="129"/>
    </row>
    <row r="20" spans="1:9" ht="16.5" thickTop="1">
      <c r="A20" s="221">
        <v>41</v>
      </c>
      <c r="B20" s="14" t="s">
        <v>18</v>
      </c>
      <c r="C20" s="420">
        <v>143</v>
      </c>
      <c r="D20" s="305"/>
      <c r="E20" s="305"/>
      <c r="F20" s="116">
        <f t="shared" si="0"/>
        <v>143</v>
      </c>
      <c r="I20" s="67"/>
    </row>
    <row r="21" spans="1:9" ht="16.5" thickTop="1">
      <c r="A21" s="221">
        <v>42</v>
      </c>
      <c r="B21" s="14" t="s">
        <v>82</v>
      </c>
      <c r="C21" s="420">
        <v>170</v>
      </c>
      <c r="D21" s="305"/>
      <c r="E21" s="305"/>
      <c r="F21" s="116">
        <f t="shared" si="0"/>
        <v>170</v>
      </c>
      <c r="I21" s="67"/>
    </row>
    <row r="22" spans="1:9" ht="32.25" thickTop="1">
      <c r="A22" s="221">
        <f>A21</f>
        <v>42</v>
      </c>
      <c r="B22" s="14" t="s">
        <v>83</v>
      </c>
      <c r="C22" s="355">
        <f>36+396+426</f>
        <v>858</v>
      </c>
      <c r="D22" s="305">
        <f>10</f>
        <v>10</v>
      </c>
      <c r="E22" s="305"/>
      <c r="F22" s="116">
        <f t="shared" si="0"/>
        <v>868</v>
      </c>
      <c r="I22" s="67"/>
    </row>
    <row r="23" spans="1:9" ht="32.25" thickTop="1">
      <c r="A23" s="221">
        <f>A21</f>
        <v>42</v>
      </c>
      <c r="B23" s="14" t="s">
        <v>183</v>
      </c>
      <c r="C23" s="420">
        <v>340</v>
      </c>
      <c r="D23" s="305"/>
      <c r="E23" s="305"/>
      <c r="F23" s="116">
        <f t="shared" si="0"/>
        <v>340</v>
      </c>
      <c r="I23" s="67"/>
    </row>
    <row r="24" spans="1:6" ht="16.5" thickTop="1">
      <c r="A24" s="221">
        <v>50</v>
      </c>
      <c r="B24" s="14" t="s">
        <v>359</v>
      </c>
      <c r="C24" s="420">
        <v>150</v>
      </c>
      <c r="D24" s="305"/>
      <c r="E24" s="305"/>
      <c r="F24" s="116">
        <f t="shared" si="0"/>
        <v>150</v>
      </c>
    </row>
    <row r="25" spans="1:6" ht="16.5" thickTop="1">
      <c r="A25" s="221">
        <v>52</v>
      </c>
      <c r="B25" s="14" t="s">
        <v>19</v>
      </c>
      <c r="C25" s="420">
        <v>120</v>
      </c>
      <c r="D25" s="305"/>
      <c r="E25" s="305"/>
      <c r="F25" s="358">
        <f t="shared" si="0"/>
        <v>120</v>
      </c>
    </row>
    <row r="26" spans="1:6" ht="15.75">
      <c r="A26" s="221">
        <v>55</v>
      </c>
      <c r="B26" s="14" t="s">
        <v>24</v>
      </c>
      <c r="C26" s="355">
        <v>135</v>
      </c>
      <c r="D26" s="305">
        <v>30</v>
      </c>
      <c r="E26" s="305">
        <v>76</v>
      </c>
      <c r="F26" s="413">
        <f t="shared" si="0"/>
        <v>241</v>
      </c>
    </row>
    <row r="27" spans="1:6" ht="15.75">
      <c r="A27" s="221">
        <v>65</v>
      </c>
      <c r="B27" s="14" t="s">
        <v>52</v>
      </c>
      <c r="C27" s="355">
        <v>94</v>
      </c>
      <c r="D27" s="305"/>
      <c r="E27" s="305"/>
      <c r="F27" s="436">
        <f t="shared" si="0"/>
        <v>94</v>
      </c>
    </row>
    <row r="28" spans="1:6" ht="15.75">
      <c r="A28" s="221">
        <v>67</v>
      </c>
      <c r="B28" s="14" t="s">
        <v>27</v>
      </c>
      <c r="C28" s="302">
        <v>48</v>
      </c>
      <c r="D28" s="305"/>
      <c r="E28" s="305"/>
      <c r="F28" s="358">
        <f t="shared" si="0"/>
        <v>48</v>
      </c>
    </row>
    <row r="29" spans="1:6" ht="15.75">
      <c r="A29" s="221">
        <v>71</v>
      </c>
      <c r="B29" s="14" t="s">
        <v>21</v>
      </c>
      <c r="C29" s="355">
        <v>473</v>
      </c>
      <c r="D29" s="305">
        <v>439</v>
      </c>
      <c r="E29" s="305">
        <v>130</v>
      </c>
      <c r="F29" s="417">
        <f>C29+D29+E29</f>
        <v>1042</v>
      </c>
    </row>
    <row r="30" spans="1:7" ht="34.5" customHeight="1">
      <c r="A30" s="221">
        <v>74</v>
      </c>
      <c r="B30" s="17" t="s">
        <v>87</v>
      </c>
      <c r="C30" s="420">
        <f>109</f>
        <v>109</v>
      </c>
      <c r="D30" s="305"/>
      <c r="E30" s="305"/>
      <c r="F30" s="358">
        <f t="shared" si="0"/>
        <v>109</v>
      </c>
      <c r="G30" s="129"/>
    </row>
    <row r="31" spans="1:6" ht="16.5" thickTop="1">
      <c r="A31" s="221">
        <v>77</v>
      </c>
      <c r="B31" s="18" t="s">
        <v>49</v>
      </c>
      <c r="C31" s="420">
        <v>110</v>
      </c>
      <c r="D31" s="305"/>
      <c r="E31" s="305"/>
      <c r="F31" s="116">
        <f t="shared" si="0"/>
        <v>110</v>
      </c>
    </row>
    <row r="32" spans="1:7" ht="16.5" thickTop="1">
      <c r="A32" s="221">
        <v>80</v>
      </c>
      <c r="B32" s="18" t="s">
        <v>29</v>
      </c>
      <c r="C32" s="419">
        <f>302</f>
        <v>302</v>
      </c>
      <c r="D32" s="305"/>
      <c r="E32" s="305"/>
      <c r="F32" s="116">
        <f t="shared" si="0"/>
        <v>302</v>
      </c>
      <c r="G32" s="129"/>
    </row>
    <row r="33" spans="1:13" ht="16.5" thickTop="1">
      <c r="A33" s="21"/>
      <c r="B33" s="22" t="s">
        <v>61</v>
      </c>
      <c r="C33" s="422">
        <f>SUM(C10:C32)-C13</f>
        <v>3858</v>
      </c>
      <c r="D33" s="171">
        <f>SUM(D10:D32)-D13</f>
        <v>479</v>
      </c>
      <c r="E33" s="171">
        <f>SUM(E10:E32)-E13</f>
        <v>206</v>
      </c>
      <c r="F33" s="172">
        <f>SUM(F10:F32)-F13</f>
        <v>4543</v>
      </c>
      <c r="G33" s="131"/>
      <c r="H33" s="132"/>
      <c r="I33" s="132"/>
      <c r="J33" s="132"/>
      <c r="K33" s="133"/>
      <c r="L33" s="133"/>
      <c r="M33" s="133"/>
    </row>
    <row r="34" spans="1:13" ht="32.25" thickBot="1">
      <c r="A34" s="27"/>
      <c r="B34" s="158" t="s">
        <v>171</v>
      </c>
      <c r="C34" s="205">
        <f>C22+C21+C23+C13</f>
        <v>1375</v>
      </c>
      <c r="D34" s="205">
        <f>D22+D21+D23</f>
        <v>10</v>
      </c>
      <c r="E34" s="205">
        <f>E22+E21+E23</f>
        <v>0</v>
      </c>
      <c r="F34" s="206">
        <f>C34+D34+E34</f>
        <v>1385</v>
      </c>
      <c r="G34" s="131"/>
      <c r="H34" s="132"/>
      <c r="I34" s="132"/>
      <c r="J34" s="132"/>
      <c r="K34" s="133"/>
      <c r="L34" s="133"/>
      <c r="M34" s="133"/>
    </row>
    <row r="35" spans="1:13" ht="22.5" customHeight="1" hidden="1" thickBot="1" thickTop="1">
      <c r="A35" s="647"/>
      <c r="B35" s="648"/>
      <c r="C35" s="648"/>
      <c r="D35" s="648"/>
      <c r="E35" s="648"/>
      <c r="F35" s="648"/>
      <c r="H35" s="133"/>
      <c r="I35" s="133"/>
      <c r="J35" s="133"/>
      <c r="K35" s="133"/>
      <c r="L35" s="133"/>
      <c r="M35" s="133"/>
    </row>
    <row r="36" spans="1:13" ht="33.75" customHeight="1" hidden="1" thickTop="1">
      <c r="A36" s="24"/>
      <c r="B36" s="25"/>
      <c r="C36" s="24"/>
      <c r="D36" s="173"/>
      <c r="E36" s="173"/>
      <c r="F36" s="174"/>
      <c r="H36" s="133"/>
      <c r="I36" s="133"/>
      <c r="J36" s="133"/>
      <c r="K36" s="133"/>
      <c r="L36" s="133"/>
      <c r="M36" s="133"/>
    </row>
    <row r="37" spans="1:13" ht="33.75" customHeight="1" hidden="1">
      <c r="A37" s="15"/>
      <c r="B37" s="16"/>
      <c r="C37" s="15"/>
      <c r="D37" s="305"/>
      <c r="E37" s="175"/>
      <c r="F37" s="169"/>
      <c r="H37" s="133"/>
      <c r="I37" s="133"/>
      <c r="J37" s="133"/>
      <c r="K37" s="133"/>
      <c r="L37" s="133"/>
      <c r="M37" s="133"/>
    </row>
    <row r="38" spans="1:13" ht="17.25" hidden="1" thickBot="1" thickTop="1">
      <c r="A38" s="26"/>
      <c r="B38" s="14"/>
      <c r="C38" s="20"/>
      <c r="D38" s="8"/>
      <c r="E38" s="8"/>
      <c r="F38" s="116"/>
      <c r="H38" s="133"/>
      <c r="I38" s="133"/>
      <c r="J38" s="133"/>
      <c r="K38" s="133"/>
      <c r="L38" s="133"/>
      <c r="M38" s="133"/>
    </row>
    <row r="39" spans="1:13" ht="17.25" hidden="1" thickBot="1" thickTop="1">
      <c r="A39" s="27"/>
      <c r="B39" s="28"/>
      <c r="C39" s="140"/>
      <c r="D39" s="176"/>
      <c r="E39" s="176"/>
      <c r="F39" s="89"/>
      <c r="K39" s="133"/>
      <c r="L39" s="133"/>
      <c r="M39" s="133"/>
    </row>
    <row r="40" spans="1:13" ht="16.5" hidden="1" thickTop="1">
      <c r="A40" s="27"/>
      <c r="B40" s="158"/>
      <c r="C40" s="204"/>
      <c r="D40" s="205"/>
      <c r="E40" s="205"/>
      <c r="F40" s="206"/>
      <c r="G40" s="131"/>
      <c r="H40" s="132"/>
      <c r="I40" s="132"/>
      <c r="J40" s="132"/>
      <c r="K40" s="133"/>
      <c r="L40" s="133"/>
      <c r="M40" s="133"/>
    </row>
    <row r="41" spans="1:13" ht="17.25" thickBot="1" thickTop="1">
      <c r="A41" s="647" t="s">
        <v>249</v>
      </c>
      <c r="B41" s="648"/>
      <c r="C41" s="648"/>
      <c r="D41" s="648"/>
      <c r="E41" s="648"/>
      <c r="F41" s="648"/>
      <c r="H41" s="133"/>
      <c r="I41" s="133"/>
      <c r="J41" s="133"/>
      <c r="K41" s="133"/>
      <c r="L41" s="133"/>
      <c r="M41" s="133"/>
    </row>
    <row r="42" spans="1:6" ht="16.5" thickTop="1">
      <c r="A42" s="29">
        <v>34</v>
      </c>
      <c r="B42" s="30" t="s">
        <v>31</v>
      </c>
      <c r="C42" s="177">
        <v>66</v>
      </c>
      <c r="D42" s="168"/>
      <c r="E42" s="178"/>
      <c r="F42" s="169">
        <f>C42+D42+E42</f>
        <v>66</v>
      </c>
    </row>
    <row r="43" spans="1:7" ht="16.5" thickTop="1">
      <c r="A43" s="29">
        <v>55</v>
      </c>
      <c r="B43" s="30" t="s">
        <v>24</v>
      </c>
      <c r="C43" s="177">
        <v>170</v>
      </c>
      <c r="D43" s="178"/>
      <c r="E43" s="178"/>
      <c r="F43" s="169">
        <f>C43+D43+E43</f>
        <v>170</v>
      </c>
      <c r="G43" s="129"/>
    </row>
    <row r="44" spans="1:7" ht="16.5" thickTop="1">
      <c r="A44" s="63">
        <v>23</v>
      </c>
      <c r="B44" s="359" t="s">
        <v>22</v>
      </c>
      <c r="C44" s="67">
        <v>30</v>
      </c>
      <c r="D44" s="191"/>
      <c r="E44" s="191"/>
      <c r="F44" s="169">
        <f>C44+D44+E44</f>
        <v>30</v>
      </c>
      <c r="G44" s="129"/>
    </row>
    <row r="45" spans="1:10" ht="17.25" thickBot="1" thickTop="1">
      <c r="A45" s="31"/>
      <c r="B45" s="32" t="s">
        <v>7</v>
      </c>
      <c r="C45" s="142">
        <f>SUM(C42:C44)</f>
        <v>266</v>
      </c>
      <c r="D45" s="176">
        <f>SUM(D42:D44)</f>
        <v>0</v>
      </c>
      <c r="E45" s="176">
        <f>SUM(E42:E44)</f>
        <v>0</v>
      </c>
      <c r="F45" s="89">
        <f>SUM(F42:F44)</f>
        <v>266</v>
      </c>
      <c r="G45" s="131"/>
      <c r="H45" s="131"/>
      <c r="I45" s="131"/>
      <c r="J45" s="131"/>
    </row>
    <row r="46" spans="1:6" ht="17.25" thickBot="1" thickTop="1">
      <c r="A46" s="647" t="s">
        <v>250</v>
      </c>
      <c r="B46" s="648"/>
      <c r="C46" s="648"/>
      <c r="D46" s="648"/>
      <c r="E46" s="648"/>
      <c r="F46" s="648"/>
    </row>
    <row r="47" spans="1:9" s="138" customFormat="1" ht="32.25" thickTop="1">
      <c r="A47" s="35">
        <v>6</v>
      </c>
      <c r="B47" s="30" t="s">
        <v>231</v>
      </c>
      <c r="C47" s="496">
        <v>574</v>
      </c>
      <c r="D47" s="307">
        <v>80</v>
      </c>
      <c r="E47" s="178"/>
      <c r="F47" s="179">
        <f>C47+D47+E47</f>
        <v>654</v>
      </c>
      <c r="G47" s="126"/>
      <c r="H47" s="143"/>
      <c r="I47" s="144"/>
    </row>
    <row r="48" spans="1:9" s="433" customFormat="1" ht="15.75" customHeight="1">
      <c r="A48" s="430">
        <f>A47</f>
        <v>6</v>
      </c>
      <c r="B48" s="431" t="s">
        <v>54</v>
      </c>
      <c r="C48" s="497">
        <v>265</v>
      </c>
      <c r="D48" s="498">
        <v>80</v>
      </c>
      <c r="E48" s="432"/>
      <c r="F48" s="472">
        <f>C48+D48+E48</f>
        <v>345</v>
      </c>
      <c r="H48" s="434"/>
      <c r="I48" s="435"/>
    </row>
    <row r="49" spans="1:9" ht="32.25" thickBot="1">
      <c r="A49" s="36">
        <v>5</v>
      </c>
      <c r="B49" s="14" t="s">
        <v>230</v>
      </c>
      <c r="C49" s="478">
        <v>125</v>
      </c>
      <c r="D49" s="499"/>
      <c r="E49" s="167"/>
      <c r="F49" s="180">
        <f>C49+D49+E49</f>
        <v>125</v>
      </c>
      <c r="I49" s="131"/>
    </row>
    <row r="50" spans="1:10" ht="17.25" thickBot="1" thickTop="1">
      <c r="A50" s="31"/>
      <c r="B50" s="32" t="s">
        <v>7</v>
      </c>
      <c r="C50" s="142">
        <f>SUM(C47:C49)-C48</f>
        <v>699</v>
      </c>
      <c r="D50" s="176">
        <f>SUM(D47:D49)-D48</f>
        <v>80</v>
      </c>
      <c r="E50" s="176">
        <f>SUM(E47:E49)-E48</f>
        <v>0</v>
      </c>
      <c r="F50" s="89">
        <f>SUM(F47:F49)-F48</f>
        <v>779</v>
      </c>
      <c r="G50" s="131"/>
      <c r="H50" s="131"/>
      <c r="I50" s="131"/>
      <c r="J50" s="131"/>
    </row>
    <row r="51" spans="1:6" ht="17.25" hidden="1" thickBot="1" thickTop="1">
      <c r="A51" s="647"/>
      <c r="B51" s="648"/>
      <c r="C51" s="648"/>
      <c r="D51" s="648"/>
      <c r="E51" s="648"/>
      <c r="F51" s="648"/>
    </row>
    <row r="52" spans="1:6" ht="17.25" hidden="1" thickBot="1" thickTop="1">
      <c r="A52" s="42"/>
      <c r="B52" s="43"/>
      <c r="C52" s="146"/>
      <c r="D52" s="207"/>
      <c r="E52" s="207"/>
      <c r="F52" s="182"/>
    </row>
    <row r="53" spans="1:10" ht="17.25" hidden="1" thickBot="1" thickTop="1">
      <c r="A53" s="40"/>
      <c r="B53" s="41"/>
      <c r="C53" s="145"/>
      <c r="D53" s="176"/>
      <c r="E53" s="176"/>
      <c r="F53" s="183"/>
      <c r="H53" s="131"/>
      <c r="I53" s="131"/>
      <c r="J53" s="131"/>
    </row>
    <row r="54" spans="1:13" ht="17.25" thickBot="1" thickTop="1">
      <c r="A54" s="647" t="s">
        <v>252</v>
      </c>
      <c r="B54" s="648"/>
      <c r="C54" s="648"/>
      <c r="D54" s="648"/>
      <c r="E54" s="648"/>
      <c r="F54" s="648"/>
      <c r="H54" s="133"/>
      <c r="I54" s="133"/>
      <c r="J54" s="133"/>
      <c r="K54" s="133"/>
      <c r="L54" s="133"/>
      <c r="M54" s="133"/>
    </row>
    <row r="55" spans="1:13" ht="16.5" thickTop="1">
      <c r="A55" s="29">
        <v>71</v>
      </c>
      <c r="B55" s="44" t="s">
        <v>21</v>
      </c>
      <c r="C55" s="15">
        <v>0</v>
      </c>
      <c r="D55" s="590">
        <f>2325+130</f>
        <v>2455</v>
      </c>
      <c r="E55" s="590">
        <f>130-130</f>
        <v>0</v>
      </c>
      <c r="F55" s="169">
        <f>C55+D55+E55</f>
        <v>2455</v>
      </c>
      <c r="H55" s="133"/>
      <c r="I55" s="133"/>
      <c r="J55" s="133"/>
      <c r="K55" s="133"/>
      <c r="L55" s="133"/>
      <c r="M55" s="133"/>
    </row>
    <row r="56" spans="1:13" ht="15.75">
      <c r="A56" s="45">
        <v>80</v>
      </c>
      <c r="B56" s="46" t="s">
        <v>29</v>
      </c>
      <c r="C56" s="19">
        <v>0</v>
      </c>
      <c r="D56" s="591">
        <f>152+18</f>
        <v>170</v>
      </c>
      <c r="E56" s="591">
        <f>18-18</f>
        <v>0</v>
      </c>
      <c r="F56" s="116">
        <f>C56+D56+E56</f>
        <v>170</v>
      </c>
      <c r="H56" s="133"/>
      <c r="I56" s="133"/>
      <c r="J56" s="133"/>
      <c r="K56" s="133"/>
      <c r="L56" s="133"/>
      <c r="M56" s="133"/>
    </row>
    <row r="57" spans="1:13" ht="15.75">
      <c r="A57" s="36">
        <v>85</v>
      </c>
      <c r="B57" s="37" t="s">
        <v>22</v>
      </c>
      <c r="C57" s="19">
        <v>0</v>
      </c>
      <c r="D57" s="8">
        <v>30</v>
      </c>
      <c r="E57" s="501"/>
      <c r="F57" s="502">
        <f>C57+D57+E57</f>
        <v>30</v>
      </c>
      <c r="H57" s="133"/>
      <c r="I57" s="133"/>
      <c r="J57" s="133"/>
      <c r="K57" s="133"/>
      <c r="L57" s="133"/>
      <c r="M57" s="133"/>
    </row>
    <row r="58" spans="1:13" ht="16.5" thickBot="1">
      <c r="A58" s="63">
        <v>30</v>
      </c>
      <c r="B58" s="359" t="s">
        <v>381</v>
      </c>
      <c r="C58" s="67">
        <v>0</v>
      </c>
      <c r="D58" s="191">
        <v>340</v>
      </c>
      <c r="E58" s="191"/>
      <c r="F58" s="169">
        <f>C58+D58+E58</f>
        <v>340</v>
      </c>
      <c r="H58" s="133"/>
      <c r="I58" s="133"/>
      <c r="J58" s="133"/>
      <c r="K58" s="133"/>
      <c r="L58" s="133"/>
      <c r="M58" s="133"/>
    </row>
    <row r="59" spans="1:13" ht="17.25" thickBot="1" thickTop="1">
      <c r="A59" s="31"/>
      <c r="B59" s="48" t="s">
        <v>7</v>
      </c>
      <c r="C59" s="140">
        <f>SUM(C55:C58)</f>
        <v>0</v>
      </c>
      <c r="D59" s="185">
        <f>SUM(D55:D58)</f>
        <v>2995</v>
      </c>
      <c r="E59" s="185">
        <f>SUM(E55:E58)</f>
        <v>0</v>
      </c>
      <c r="F59" s="185">
        <f>SUM(F55:F58)</f>
        <v>2995</v>
      </c>
      <c r="H59" s="132"/>
      <c r="I59" s="132"/>
      <c r="J59" s="132"/>
      <c r="K59" s="133"/>
      <c r="L59" s="133"/>
      <c r="M59" s="133"/>
    </row>
    <row r="60" spans="1:6" ht="17.25" thickBot="1" thickTop="1">
      <c r="A60" s="647" t="s">
        <v>312</v>
      </c>
      <c r="B60" s="648"/>
      <c r="C60" s="648"/>
      <c r="D60" s="648"/>
      <c r="E60" s="648"/>
      <c r="F60" s="648"/>
    </row>
    <row r="61" spans="1:6" ht="32.25" thickTop="1">
      <c r="A61" s="33">
        <v>6</v>
      </c>
      <c r="B61" s="30" t="s">
        <v>231</v>
      </c>
      <c r="C61" s="478">
        <v>200</v>
      </c>
      <c r="D61" s="186">
        <v>0</v>
      </c>
      <c r="E61" s="186">
        <v>0</v>
      </c>
      <c r="F61" s="169">
        <f aca="true" t="shared" si="1" ref="F61:F67">C61+D61+E61</f>
        <v>200</v>
      </c>
    </row>
    <row r="62" spans="1:7" s="138" customFormat="1" ht="15.75">
      <c r="A62" s="51">
        <v>80</v>
      </c>
      <c r="B62" s="46" t="s">
        <v>29</v>
      </c>
      <c r="C62" s="478">
        <v>110</v>
      </c>
      <c r="D62" s="168">
        <v>0</v>
      </c>
      <c r="E62" s="168">
        <v>0</v>
      </c>
      <c r="F62" s="116">
        <f t="shared" si="1"/>
        <v>110</v>
      </c>
      <c r="G62" s="126"/>
    </row>
    <row r="63" spans="1:7" s="138" customFormat="1" ht="15.75">
      <c r="A63" s="477">
        <v>21</v>
      </c>
      <c r="B63" s="46" t="s">
        <v>232</v>
      </c>
      <c r="C63" s="479">
        <v>30</v>
      </c>
      <c r="D63" s="168"/>
      <c r="E63" s="168"/>
      <c r="F63" s="116">
        <f t="shared" si="1"/>
        <v>30</v>
      </c>
      <c r="G63" s="126"/>
    </row>
    <row r="64" spans="1:7" s="138" customFormat="1" ht="15.75">
      <c r="A64" s="477">
        <v>77</v>
      </c>
      <c r="B64" s="46" t="s">
        <v>49</v>
      </c>
      <c r="C64" s="479">
        <v>0</v>
      </c>
      <c r="D64" s="168">
        <v>0</v>
      </c>
      <c r="E64" s="168">
        <v>0</v>
      </c>
      <c r="F64" s="116">
        <f t="shared" si="1"/>
        <v>0</v>
      </c>
      <c r="G64" s="126"/>
    </row>
    <row r="65" spans="1:7" s="138" customFormat="1" ht="15.75">
      <c r="A65" s="477">
        <v>50</v>
      </c>
      <c r="B65" s="46" t="s">
        <v>359</v>
      </c>
      <c r="C65" s="479">
        <v>30</v>
      </c>
      <c r="D65" s="189"/>
      <c r="E65" s="189"/>
      <c r="F65" s="116">
        <f t="shared" si="1"/>
        <v>30</v>
      </c>
      <c r="G65" s="126"/>
    </row>
    <row r="66" spans="1:6" ht="16.5" thickBot="1">
      <c r="A66" s="38">
        <v>29</v>
      </c>
      <c r="B66" s="52" t="s">
        <v>51</v>
      </c>
      <c r="C66" s="480">
        <v>50</v>
      </c>
      <c r="D66" s="187">
        <v>0</v>
      </c>
      <c r="E66" s="187">
        <v>0</v>
      </c>
      <c r="F66" s="184">
        <f t="shared" si="1"/>
        <v>50</v>
      </c>
    </row>
    <row r="67" spans="1:10" ht="17.25" thickBot="1" thickTop="1">
      <c r="A67" s="446"/>
      <c r="B67" s="48" t="s">
        <v>7</v>
      </c>
      <c r="C67" s="147">
        <f>SUM(C61:C66)</f>
        <v>420</v>
      </c>
      <c r="D67" s="147">
        <f>SUM(D61:D66)</f>
        <v>0</v>
      </c>
      <c r="E67" s="147">
        <f>SUM(E61:E66)</f>
        <v>0</v>
      </c>
      <c r="F67" s="185">
        <f t="shared" si="1"/>
        <v>420</v>
      </c>
      <c r="H67" s="131"/>
      <c r="I67" s="131"/>
      <c r="J67" s="131"/>
    </row>
    <row r="68" spans="1:6" ht="17.25" hidden="1" thickBot="1" thickTop="1">
      <c r="A68" s="647"/>
      <c r="B68" s="648"/>
      <c r="C68" s="648"/>
      <c r="D68" s="648"/>
      <c r="E68" s="648"/>
      <c r="F68" s="648"/>
    </row>
    <row r="69" spans="1:6" ht="16.5" hidden="1" thickTop="1">
      <c r="A69" s="29"/>
      <c r="B69" s="30"/>
      <c r="C69" s="303"/>
      <c r="D69" s="186"/>
      <c r="E69" s="186"/>
      <c r="F69" s="179"/>
    </row>
    <row r="70" spans="1:6" ht="15.75" hidden="1">
      <c r="A70" s="36"/>
      <c r="B70" s="37"/>
      <c r="C70" s="302"/>
      <c r="D70" s="168"/>
      <c r="E70" s="168"/>
      <c r="F70" s="180"/>
    </row>
    <row r="71" spans="1:6" ht="15.75" hidden="1">
      <c r="A71" s="36"/>
      <c r="B71" s="37"/>
      <c r="C71" s="13"/>
      <c r="D71" s="168"/>
      <c r="E71" s="168"/>
      <c r="F71" s="180"/>
    </row>
    <row r="72" spans="1:6" ht="15.75" hidden="1">
      <c r="A72" s="29"/>
      <c r="B72" s="30"/>
      <c r="C72" s="15"/>
      <c r="D72" s="308"/>
      <c r="E72" s="168"/>
      <c r="F72" s="179"/>
    </row>
    <row r="73" spans="1:6" ht="15.75" hidden="1">
      <c r="A73" s="54"/>
      <c r="B73" s="37"/>
      <c r="C73" s="13"/>
      <c r="D73" s="168"/>
      <c r="E73" s="168"/>
      <c r="F73" s="180"/>
    </row>
    <row r="74" spans="1:6" ht="16.5" hidden="1" thickBot="1">
      <c r="A74" s="55"/>
      <c r="B74" s="47"/>
      <c r="C74" s="20"/>
      <c r="D74" s="168"/>
      <c r="E74" s="168"/>
      <c r="F74" s="190"/>
    </row>
    <row r="75" spans="1:10" ht="17.25" hidden="1" thickBot="1" thickTop="1">
      <c r="A75" s="31"/>
      <c r="B75" s="32"/>
      <c r="C75" s="140"/>
      <c r="D75" s="176"/>
      <c r="E75" s="176"/>
      <c r="F75" s="89"/>
      <c r="H75" s="131"/>
      <c r="I75" s="131"/>
      <c r="J75" s="131"/>
    </row>
    <row r="76" spans="1:6" ht="17.25" hidden="1" thickBot="1" thickTop="1">
      <c r="A76" s="647"/>
      <c r="B76" s="648"/>
      <c r="C76" s="648"/>
      <c r="D76" s="648"/>
      <c r="E76" s="648"/>
      <c r="F76" s="648"/>
    </row>
    <row r="77" spans="1:6" ht="16.5" hidden="1" thickTop="1">
      <c r="A77" s="33"/>
      <c r="B77" s="49"/>
      <c r="C77" s="304"/>
      <c r="D77" s="186"/>
      <c r="E77" s="186"/>
      <c r="F77" s="172"/>
    </row>
    <row r="78" spans="1:6" ht="15.75" hidden="1">
      <c r="A78" s="36"/>
      <c r="B78" s="50"/>
      <c r="C78" s="302"/>
      <c r="D78" s="167"/>
      <c r="E78" s="167"/>
      <c r="F78" s="180"/>
    </row>
    <row r="79" spans="1:6" ht="15.75" hidden="1">
      <c r="A79" s="36"/>
      <c r="B79" s="50"/>
      <c r="C79" s="302"/>
      <c r="D79" s="168"/>
      <c r="E79" s="168"/>
      <c r="F79" s="180"/>
    </row>
    <row r="80" spans="1:6" ht="15.75" hidden="1">
      <c r="A80" s="45"/>
      <c r="B80" s="37"/>
      <c r="C80" s="13"/>
      <c r="D80" s="308"/>
      <c r="E80" s="308"/>
      <c r="F80" s="180"/>
    </row>
    <row r="81" spans="1:6" ht="16.5" hidden="1" thickBot="1">
      <c r="A81" s="45"/>
      <c r="B81" s="56"/>
      <c r="C81" s="20"/>
      <c r="D81" s="187"/>
      <c r="E81" s="189"/>
      <c r="F81" s="190"/>
    </row>
    <row r="82" spans="1:10" ht="17.25" hidden="1" thickBot="1" thickTop="1">
      <c r="A82" s="31"/>
      <c r="B82" s="28"/>
      <c r="C82" s="140"/>
      <c r="D82" s="176"/>
      <c r="E82" s="176"/>
      <c r="F82" s="89"/>
      <c r="H82" s="131"/>
      <c r="J82" s="131"/>
    </row>
    <row r="83" spans="1:6" ht="17.25" customHeight="1" hidden="1" thickBot="1" thickTop="1">
      <c r="A83" s="647"/>
      <c r="B83" s="648"/>
      <c r="C83" s="648"/>
      <c r="D83" s="648"/>
      <c r="E83" s="648"/>
      <c r="F83" s="648"/>
    </row>
    <row r="84" spans="1:6" ht="16.5" hidden="1" thickTop="1">
      <c r="A84" s="21"/>
      <c r="B84" s="34"/>
      <c r="C84" s="13"/>
      <c r="D84" s="186"/>
      <c r="E84" s="186"/>
      <c r="F84" s="180"/>
    </row>
    <row r="85" spans="1:6" ht="15.75" hidden="1">
      <c r="A85" s="36"/>
      <c r="B85" s="37"/>
      <c r="C85" s="13"/>
      <c r="D85" s="178"/>
      <c r="E85" s="178"/>
      <c r="F85" s="180"/>
    </row>
    <row r="86" spans="1:6" ht="15.75" hidden="1">
      <c r="A86" s="36"/>
      <c r="B86" s="37"/>
      <c r="C86" s="127"/>
      <c r="D86" s="307"/>
      <c r="E86" s="307"/>
      <c r="F86" s="180"/>
    </row>
    <row r="87" spans="1:6" ht="15.75" hidden="1">
      <c r="A87" s="36"/>
      <c r="B87" s="37"/>
      <c r="C87" s="13"/>
      <c r="D87" s="308"/>
      <c r="E87" s="308"/>
      <c r="F87" s="180"/>
    </row>
    <row r="88" spans="1:6" ht="16.5" hidden="1" thickBot="1">
      <c r="A88" s="55"/>
      <c r="B88" s="47"/>
      <c r="C88" s="60"/>
      <c r="D88" s="187"/>
      <c r="E88" s="187"/>
      <c r="F88" s="188"/>
    </row>
    <row r="89" spans="1:14" ht="17.25" hidden="1" thickBot="1" thickTop="1">
      <c r="A89" s="31"/>
      <c r="B89" s="32"/>
      <c r="C89" s="140"/>
      <c r="D89" s="176"/>
      <c r="E89" s="176"/>
      <c r="F89" s="89"/>
      <c r="H89" s="131"/>
      <c r="J89" s="131"/>
      <c r="M89" s="131"/>
      <c r="N89" s="131"/>
    </row>
    <row r="90" spans="1:6" ht="17.25" hidden="1" thickBot="1" thickTop="1">
      <c r="A90" s="647"/>
      <c r="B90" s="648"/>
      <c r="C90" s="648"/>
      <c r="D90" s="648"/>
      <c r="E90" s="648"/>
      <c r="F90" s="648"/>
    </row>
    <row r="91" spans="1:13" ht="16.5" hidden="1" thickTop="1">
      <c r="A91" s="36"/>
      <c r="B91" s="50"/>
      <c r="C91" s="13"/>
      <c r="D91" s="306"/>
      <c r="E91" s="306"/>
      <c r="F91" s="180"/>
      <c r="H91" s="131"/>
      <c r="I91" s="131"/>
      <c r="J91" s="131"/>
      <c r="K91" s="131"/>
      <c r="L91" s="131"/>
      <c r="M91" s="131"/>
    </row>
    <row r="92" spans="1:6" ht="15.75" hidden="1">
      <c r="A92" s="29"/>
      <c r="B92" s="57"/>
      <c r="C92" s="15"/>
      <c r="D92" s="307"/>
      <c r="E92" s="307"/>
      <c r="F92" s="179"/>
    </row>
    <row r="93" spans="1:6" ht="15.75" hidden="1">
      <c r="A93" s="36"/>
      <c r="B93" s="50"/>
      <c r="C93" s="13"/>
      <c r="D93" s="308"/>
      <c r="E93" s="308"/>
      <c r="F93" s="180"/>
    </row>
    <row r="94" spans="1:12" ht="16.5" hidden="1" thickBot="1">
      <c r="A94" s="38"/>
      <c r="B94" s="52"/>
      <c r="C94" s="60"/>
      <c r="D94" s="187"/>
      <c r="E94" s="187"/>
      <c r="F94" s="188"/>
      <c r="H94" s="131"/>
      <c r="L94" s="131"/>
    </row>
    <row r="95" spans="1:12" ht="17.25" hidden="1" thickBot="1" thickTop="1">
      <c r="A95" s="40"/>
      <c r="B95" s="53"/>
      <c r="C95" s="145"/>
      <c r="D95" s="176"/>
      <c r="E95" s="181"/>
      <c r="F95" s="183"/>
      <c r="H95" s="131"/>
      <c r="I95" s="131"/>
      <c r="J95" s="131"/>
      <c r="K95" s="131"/>
      <c r="L95" s="131"/>
    </row>
    <row r="96" spans="1:6" ht="17.25" hidden="1" thickBot="1" thickTop="1">
      <c r="A96" s="647"/>
      <c r="B96" s="648"/>
      <c r="C96" s="648"/>
      <c r="D96" s="648"/>
      <c r="E96" s="648"/>
      <c r="F96" s="648"/>
    </row>
    <row r="97" spans="1:6" ht="16.5" hidden="1" thickTop="1">
      <c r="A97" s="33"/>
      <c r="B97" s="34"/>
      <c r="C97" s="24"/>
      <c r="D97" s="186"/>
      <c r="E97" s="186"/>
      <c r="F97" s="172"/>
    </row>
    <row r="98" spans="1:6" ht="15.75" hidden="1">
      <c r="A98" s="36"/>
      <c r="B98" s="37"/>
      <c r="C98" s="13"/>
      <c r="D98" s="178"/>
      <c r="E98" s="178"/>
      <c r="F98" s="180"/>
    </row>
    <row r="99" spans="1:6" ht="15.75" hidden="1">
      <c r="A99" s="36"/>
      <c r="B99" s="37"/>
      <c r="C99" s="13"/>
      <c r="D99" s="178"/>
      <c r="E99" s="178"/>
      <c r="F99" s="180"/>
    </row>
    <row r="100" spans="1:6" ht="15.75" hidden="1">
      <c r="A100" s="36"/>
      <c r="B100" s="37"/>
      <c r="C100" s="13"/>
      <c r="D100" s="308"/>
      <c r="E100" s="178"/>
      <c r="F100" s="180"/>
    </row>
    <row r="101" spans="1:6" ht="16.5" hidden="1" thickBot="1">
      <c r="A101" s="45"/>
      <c r="B101" s="47"/>
      <c r="C101" s="60"/>
      <c r="D101" s="187"/>
      <c r="E101" s="187"/>
      <c r="F101" s="188"/>
    </row>
    <row r="102" spans="1:14" ht="17.25" hidden="1" thickBot="1" thickTop="1">
      <c r="A102" s="31"/>
      <c r="B102" s="32"/>
      <c r="C102" s="149"/>
      <c r="D102" s="176"/>
      <c r="E102" s="176"/>
      <c r="F102" s="89"/>
      <c r="H102" s="131"/>
      <c r="I102" s="131"/>
      <c r="J102" s="131"/>
      <c r="M102" s="131"/>
      <c r="N102" s="131"/>
    </row>
    <row r="103" spans="1:6" ht="17.25" hidden="1" thickBot="1" thickTop="1">
      <c r="A103" s="647"/>
      <c r="B103" s="648"/>
      <c r="C103" s="648"/>
      <c r="D103" s="648"/>
      <c r="E103" s="648"/>
      <c r="F103" s="648"/>
    </row>
    <row r="104" spans="1:6" ht="16.5" hidden="1" thickTop="1">
      <c r="A104" s="36"/>
      <c r="B104" s="50"/>
      <c r="C104" s="13"/>
      <c r="D104" s="186"/>
      <c r="E104" s="186"/>
      <c r="F104" s="180"/>
    </row>
    <row r="105" spans="1:6" ht="15.75" hidden="1">
      <c r="A105" s="29"/>
      <c r="B105" s="57"/>
      <c r="C105" s="128"/>
      <c r="D105" s="178"/>
      <c r="E105" s="307"/>
      <c r="F105" s="179"/>
    </row>
    <row r="106" spans="1:6" ht="15.75" hidden="1">
      <c r="A106" s="45"/>
      <c r="B106" s="50"/>
      <c r="C106" s="20"/>
      <c r="D106" s="308"/>
      <c r="E106" s="308"/>
      <c r="F106" s="180"/>
    </row>
    <row r="107" spans="1:6" ht="15.75" hidden="1">
      <c r="A107" s="36"/>
      <c r="B107" s="50"/>
      <c r="C107" s="13"/>
      <c r="D107" s="168"/>
      <c r="E107" s="178"/>
      <c r="F107" s="179"/>
    </row>
    <row r="108" spans="1:6" ht="16.5" hidden="1" thickBot="1">
      <c r="A108" s="60"/>
      <c r="B108" s="61"/>
      <c r="C108" s="60"/>
      <c r="D108" s="187"/>
      <c r="E108" s="191"/>
      <c r="F108" s="192"/>
    </row>
    <row r="109" spans="1:14" ht="17.25" hidden="1" thickBot="1" thickTop="1">
      <c r="A109" s="31"/>
      <c r="B109" s="28"/>
      <c r="C109" s="140"/>
      <c r="D109" s="176"/>
      <c r="E109" s="176"/>
      <c r="F109" s="89"/>
      <c r="H109" s="131"/>
      <c r="I109" s="131"/>
      <c r="J109" s="131"/>
      <c r="M109" s="131"/>
      <c r="N109" s="131"/>
    </row>
    <row r="110" spans="1:14" ht="17.25" hidden="1" thickBot="1" thickTop="1">
      <c r="A110" s="647"/>
      <c r="B110" s="648"/>
      <c r="C110" s="648"/>
      <c r="D110" s="648"/>
      <c r="E110" s="648"/>
      <c r="F110" s="648"/>
      <c r="H110" s="131"/>
      <c r="I110" s="131"/>
      <c r="J110" s="131"/>
      <c r="M110" s="131"/>
      <c r="N110" s="131"/>
    </row>
    <row r="111" spans="1:14" ht="16.5" hidden="1" thickTop="1">
      <c r="A111" s="33"/>
      <c r="B111" s="34"/>
      <c r="C111" s="24"/>
      <c r="D111" s="186"/>
      <c r="E111" s="186"/>
      <c r="F111" s="172"/>
      <c r="H111" s="131"/>
      <c r="I111" s="131"/>
      <c r="J111" s="131"/>
      <c r="M111" s="131"/>
      <c r="N111" s="131"/>
    </row>
    <row r="112" spans="1:14" ht="15.75" hidden="1">
      <c r="A112" s="29"/>
      <c r="B112" s="58"/>
      <c r="C112" s="69"/>
      <c r="D112" s="209"/>
      <c r="E112" s="209"/>
      <c r="F112" s="208"/>
      <c r="H112" s="131"/>
      <c r="I112" s="131"/>
      <c r="J112" s="131"/>
      <c r="M112" s="131"/>
      <c r="N112" s="131"/>
    </row>
    <row r="113" spans="1:14" ht="15.75" hidden="1">
      <c r="A113" s="36"/>
      <c r="B113" s="37"/>
      <c r="C113" s="13"/>
      <c r="D113" s="178"/>
      <c r="E113" s="178"/>
      <c r="F113" s="180"/>
      <c r="H113" s="131"/>
      <c r="I113" s="131"/>
      <c r="J113" s="131"/>
      <c r="M113" s="131"/>
      <c r="N113" s="131"/>
    </row>
    <row r="114" spans="1:14" ht="15.75" hidden="1">
      <c r="A114" s="36"/>
      <c r="B114" s="37"/>
      <c r="C114" s="13"/>
      <c r="D114" s="175"/>
      <c r="E114" s="178"/>
      <c r="F114" s="180"/>
      <c r="H114" s="131"/>
      <c r="I114" s="131"/>
      <c r="J114" s="131"/>
      <c r="M114" s="131"/>
      <c r="N114" s="131"/>
    </row>
    <row r="115" spans="1:14" ht="16.5" hidden="1" thickBot="1">
      <c r="A115" s="45"/>
      <c r="B115" s="47"/>
      <c r="C115" s="60"/>
      <c r="D115" s="187"/>
      <c r="E115" s="187"/>
      <c r="F115" s="188"/>
      <c r="H115" s="131"/>
      <c r="I115" s="131"/>
      <c r="J115" s="131"/>
      <c r="M115" s="131"/>
      <c r="N115" s="131"/>
    </row>
    <row r="116" spans="1:14" ht="17.25" hidden="1" thickBot="1" thickTop="1">
      <c r="A116" s="31"/>
      <c r="B116" s="32"/>
      <c r="C116" s="149"/>
      <c r="D116" s="176"/>
      <c r="E116" s="176"/>
      <c r="F116" s="89"/>
      <c r="H116" s="131"/>
      <c r="I116" s="131"/>
      <c r="J116" s="131"/>
      <c r="M116" s="131"/>
      <c r="N116" s="131"/>
    </row>
    <row r="117" spans="1:10" ht="48" thickTop="1">
      <c r="A117" s="33"/>
      <c r="B117" s="22" t="s">
        <v>311</v>
      </c>
      <c r="C117" s="170">
        <f>C109+C102+C95+C89+C82+C75+C67+C59+C53+C50+C45+C39+C33+C116</f>
        <v>5243</v>
      </c>
      <c r="D117" s="171">
        <f>D109+D102+D95+D89+D82+D75+D67+D59+D53+D50+D45+D39+D33+D116</f>
        <v>3554</v>
      </c>
      <c r="E117" s="171">
        <f>E109+E102+E95+E89+E82+E75+E67+E59+E53+E50+E45+E39+E33+E116</f>
        <v>206</v>
      </c>
      <c r="F117" s="172">
        <f>F109+F102+F95+F89+F82+F75+F67+F59+F53+F50+F45+F39+F33+F116</f>
        <v>9003</v>
      </c>
      <c r="H117" s="131"/>
      <c r="I117" s="131"/>
      <c r="J117" s="131"/>
    </row>
    <row r="118" spans="1:10" ht="32.25" thickBot="1">
      <c r="A118" s="27"/>
      <c r="B118" s="158" t="s">
        <v>171</v>
      </c>
      <c r="C118" s="204">
        <f>C34+C40</f>
        <v>1375</v>
      </c>
      <c r="D118" s="205">
        <f>D34+D40</f>
        <v>10</v>
      </c>
      <c r="E118" s="205">
        <f>E34+E40</f>
        <v>0</v>
      </c>
      <c r="F118" s="206">
        <f>C118+D118+E118</f>
        <v>1385</v>
      </c>
      <c r="H118" s="131"/>
      <c r="I118" s="131"/>
      <c r="J118" s="131"/>
    </row>
    <row r="119" spans="1:6" ht="17.25" thickBot="1" thickTop="1">
      <c r="A119" s="647" t="s">
        <v>255</v>
      </c>
      <c r="B119" s="648"/>
      <c r="C119" s="648"/>
      <c r="D119" s="648"/>
      <c r="E119" s="648"/>
      <c r="F119" s="648"/>
    </row>
    <row r="120" spans="1:8" ht="27" customHeight="1" thickTop="1">
      <c r="A120" s="1">
        <v>8</v>
      </c>
      <c r="B120" s="2" t="s">
        <v>58</v>
      </c>
      <c r="C120" s="193">
        <v>15</v>
      </c>
      <c r="D120" s="168">
        <v>0</v>
      </c>
      <c r="E120" s="191">
        <v>0</v>
      </c>
      <c r="F120" s="192">
        <f>C120+D120+E120</f>
        <v>15</v>
      </c>
      <c r="H120" s="131"/>
    </row>
    <row r="121" spans="1:8" ht="16.5" thickBot="1">
      <c r="A121" s="38"/>
      <c r="B121" s="62" t="s">
        <v>60</v>
      </c>
      <c r="C121" s="194">
        <f>C120</f>
        <v>15</v>
      </c>
      <c r="D121" s="195">
        <f>D120</f>
        <v>0</v>
      </c>
      <c r="E121" s="195">
        <f>E120</f>
        <v>0</v>
      </c>
      <c r="F121" s="184">
        <f>F120</f>
        <v>15</v>
      </c>
      <c r="H121" s="131"/>
    </row>
    <row r="122" spans="1:6" ht="17.25" thickBot="1" thickTop="1">
      <c r="A122" s="647" t="s">
        <v>376</v>
      </c>
      <c r="B122" s="648"/>
      <c r="C122" s="648"/>
      <c r="D122" s="648"/>
      <c r="E122" s="648"/>
      <c r="F122" s="648"/>
    </row>
    <row r="123" spans="1:6" ht="31.5" customHeight="1" thickTop="1">
      <c r="A123" s="8">
        <v>8</v>
      </c>
      <c r="B123" s="2" t="s">
        <v>58</v>
      </c>
      <c r="C123" s="193">
        <v>8</v>
      </c>
      <c r="D123" s="168">
        <v>0</v>
      </c>
      <c r="E123" s="191">
        <v>0</v>
      </c>
      <c r="F123" s="192">
        <f>C123+D123+E123</f>
        <v>8</v>
      </c>
    </row>
    <row r="124" spans="1:6" ht="16.5" thickBot="1">
      <c r="A124" s="38"/>
      <c r="B124" s="62" t="s">
        <v>7</v>
      </c>
      <c r="C124" s="194">
        <f>C123</f>
        <v>8</v>
      </c>
      <c r="D124" s="195">
        <f>D123</f>
        <v>0</v>
      </c>
      <c r="E124" s="195">
        <f>E123</f>
        <v>0</v>
      </c>
      <c r="F124" s="184">
        <f>F123</f>
        <v>8</v>
      </c>
    </row>
    <row r="125" spans="1:6" ht="33.75" customHeight="1" thickBot="1" thickTop="1">
      <c r="A125" s="647" t="s">
        <v>374</v>
      </c>
      <c r="B125" s="648"/>
      <c r="C125" s="648"/>
      <c r="D125" s="648"/>
      <c r="E125" s="648"/>
      <c r="F125" s="648"/>
    </row>
    <row r="126" spans="1:6" ht="16.5" thickTop="1">
      <c r="A126" s="8">
        <v>52</v>
      </c>
      <c r="B126" s="2" t="s">
        <v>2</v>
      </c>
      <c r="C126" s="193">
        <v>6</v>
      </c>
      <c r="D126" s="168">
        <v>0</v>
      </c>
      <c r="E126" s="191">
        <v>0</v>
      </c>
      <c r="F126" s="192">
        <f>C126+D126+E126</f>
        <v>6</v>
      </c>
    </row>
    <row r="127" spans="1:6" ht="16.5" thickBot="1">
      <c r="A127" s="38"/>
      <c r="B127" s="62" t="s">
        <v>7</v>
      </c>
      <c r="C127" s="194">
        <f>C126</f>
        <v>6</v>
      </c>
      <c r="D127" s="195">
        <f>D126</f>
        <v>0</v>
      </c>
      <c r="E127" s="195">
        <f>E126</f>
        <v>0</v>
      </c>
      <c r="F127" s="184">
        <f>F126</f>
        <v>6</v>
      </c>
    </row>
    <row r="128" spans="1:6" ht="32.25" thickTop="1">
      <c r="A128" s="196"/>
      <c r="B128" s="197" t="s">
        <v>184</v>
      </c>
      <c r="C128" s="220">
        <f>C127+C124+C121</f>
        <v>29</v>
      </c>
      <c r="D128" s="199">
        <f>D127+D124+D121</f>
        <v>0</v>
      </c>
      <c r="E128" s="199">
        <f>E127+E124+E121</f>
        <v>0</v>
      </c>
      <c r="F128" s="219">
        <f>C128+D128+E128</f>
        <v>29</v>
      </c>
    </row>
    <row r="129" spans="1:6" ht="15.75">
      <c r="A129" s="221"/>
      <c r="B129" s="214" t="s">
        <v>185</v>
      </c>
      <c r="C129" s="215">
        <f>C120+C123</f>
        <v>23</v>
      </c>
      <c r="D129" s="216">
        <f>D120+D123</f>
        <v>0</v>
      </c>
      <c r="E129" s="216">
        <f>E120+E123</f>
        <v>0</v>
      </c>
      <c r="F129" s="217">
        <f>F120+F123</f>
        <v>23</v>
      </c>
    </row>
    <row r="130" spans="1:6" ht="31.5">
      <c r="A130" s="27"/>
      <c r="B130" s="214" t="s">
        <v>171</v>
      </c>
      <c r="C130" s="215">
        <v>0</v>
      </c>
      <c r="D130" s="216">
        <v>0</v>
      </c>
      <c r="E130" s="216">
        <v>0</v>
      </c>
      <c r="F130" s="217">
        <f>C130+D130+E130</f>
        <v>0</v>
      </c>
    </row>
    <row r="131" spans="1:6" ht="16.5" thickBot="1">
      <c r="A131" s="27"/>
      <c r="B131" s="214" t="s">
        <v>176</v>
      </c>
      <c r="C131" s="215">
        <f>C17+C18+C58</f>
        <v>0</v>
      </c>
      <c r="D131" s="216">
        <f>D17+D18+D58</f>
        <v>340</v>
      </c>
      <c r="E131" s="216">
        <f>E17+E18+E58</f>
        <v>0</v>
      </c>
      <c r="F131" s="217">
        <f>F17+F18+F58</f>
        <v>340</v>
      </c>
    </row>
    <row r="132" spans="1:6" ht="33" customHeight="1" thickBot="1" thickTop="1">
      <c r="A132" s="647" t="s">
        <v>236</v>
      </c>
      <c r="B132" s="648"/>
      <c r="C132" s="648"/>
      <c r="D132" s="648"/>
      <c r="E132" s="648"/>
      <c r="F132" s="648"/>
    </row>
    <row r="133" spans="1:6" ht="79.5" thickTop="1">
      <c r="A133" s="33"/>
      <c r="B133" s="210" t="s">
        <v>187</v>
      </c>
      <c r="C133" s="423">
        <v>446</v>
      </c>
      <c r="D133" s="211">
        <v>0</v>
      </c>
      <c r="E133" s="212">
        <v>0</v>
      </c>
      <c r="F133" s="213">
        <f aca="true" t="shared" si="2" ref="F133:F139">C133+D133+E133</f>
        <v>446</v>
      </c>
    </row>
    <row r="134" spans="1:6" ht="15.75">
      <c r="A134" s="221"/>
      <c r="B134" s="214" t="s">
        <v>185</v>
      </c>
      <c r="C134" s="424">
        <v>66</v>
      </c>
      <c r="D134" s="216">
        <v>0</v>
      </c>
      <c r="E134" s="216">
        <v>0</v>
      </c>
      <c r="F134" s="217">
        <f t="shared" si="2"/>
        <v>66</v>
      </c>
    </row>
    <row r="135" spans="1:6" ht="31.5">
      <c r="A135" s="54"/>
      <c r="B135" s="214" t="s">
        <v>171</v>
      </c>
      <c r="C135" s="424">
        <v>28</v>
      </c>
      <c r="D135" s="216">
        <v>0</v>
      </c>
      <c r="E135" s="216">
        <v>0</v>
      </c>
      <c r="F135" s="217">
        <f t="shared" si="2"/>
        <v>28</v>
      </c>
    </row>
    <row r="136" spans="1:6" ht="16.5" thickBot="1">
      <c r="A136" s="27"/>
      <c r="B136" s="214" t="s">
        <v>176</v>
      </c>
      <c r="C136" s="424">
        <v>10</v>
      </c>
      <c r="D136" s="216">
        <v>0</v>
      </c>
      <c r="E136" s="216">
        <v>0</v>
      </c>
      <c r="F136" s="217">
        <f t="shared" si="2"/>
        <v>10</v>
      </c>
    </row>
    <row r="137" spans="1:10" ht="58.5" customHeight="1" thickTop="1">
      <c r="A137" s="196"/>
      <c r="B137" s="218" t="s">
        <v>186</v>
      </c>
      <c r="C137" s="198">
        <f>C133+C128+C117</f>
        <v>5718</v>
      </c>
      <c r="D137" s="199">
        <f>D133+D128+D117</f>
        <v>3554</v>
      </c>
      <c r="E137" s="199">
        <f>E133+E128+E117</f>
        <v>206</v>
      </c>
      <c r="F137" s="219">
        <f t="shared" si="2"/>
        <v>9478</v>
      </c>
      <c r="G137" s="200">
        <f>9128+350</f>
        <v>9478</v>
      </c>
      <c r="H137" s="200">
        <f>G137-F137</f>
        <v>0</v>
      </c>
      <c r="I137" s="131">
        <f>F33+F45+F50+F59+F67+F121+F124+F127+F133</f>
        <v>9478</v>
      </c>
      <c r="J137" s="131"/>
    </row>
    <row r="138" spans="1:10" ht="18" customHeight="1">
      <c r="A138" s="221"/>
      <c r="B138" s="214" t="s">
        <v>185</v>
      </c>
      <c r="C138" s="215">
        <f>C134+C129</f>
        <v>89</v>
      </c>
      <c r="D138" s="216">
        <f>D134+D129</f>
        <v>0</v>
      </c>
      <c r="E138" s="216">
        <f>E134+E129</f>
        <v>0</v>
      </c>
      <c r="F138" s="217">
        <f t="shared" si="2"/>
        <v>89</v>
      </c>
      <c r="G138" s="200">
        <v>89</v>
      </c>
      <c r="H138" s="200">
        <f>G138-F138</f>
        <v>0</v>
      </c>
      <c r="I138" s="131"/>
      <c r="J138" s="131"/>
    </row>
    <row r="139" spans="1:10" s="154" customFormat="1" ht="31.5">
      <c r="A139" s="54"/>
      <c r="B139" s="214" t="s">
        <v>171</v>
      </c>
      <c r="C139" s="215">
        <f>C130+C118+C135</f>
        <v>1403</v>
      </c>
      <c r="D139" s="216">
        <f>D130+D118+D135</f>
        <v>10</v>
      </c>
      <c r="E139" s="216">
        <f>E130+E118+E135</f>
        <v>0</v>
      </c>
      <c r="F139" s="217">
        <f t="shared" si="2"/>
        <v>1413</v>
      </c>
      <c r="G139" s="65">
        <v>1413</v>
      </c>
      <c r="H139" s="153">
        <f>G139-F139</f>
        <v>0</v>
      </c>
      <c r="J139" s="131"/>
    </row>
    <row r="140" spans="1:8" ht="15.75">
      <c r="A140" s="27"/>
      <c r="B140" s="214" t="s">
        <v>176</v>
      </c>
      <c r="C140" s="215">
        <f>C136+C131</f>
        <v>10</v>
      </c>
      <c r="D140" s="216">
        <f>D136+D131</f>
        <v>340</v>
      </c>
      <c r="E140" s="216">
        <f>E136+E131</f>
        <v>0</v>
      </c>
      <c r="F140" s="217">
        <f>F136+F131</f>
        <v>350</v>
      </c>
      <c r="G140" s="65">
        <v>350</v>
      </c>
      <c r="H140" s="295">
        <f>G140-F140</f>
        <v>0</v>
      </c>
    </row>
    <row r="141" spans="1:7" s="154" customFormat="1" ht="15.75">
      <c r="A141" s="65"/>
      <c r="B141" s="9" t="s">
        <v>62</v>
      </c>
      <c r="C141" s="168">
        <v>0</v>
      </c>
      <c r="D141" s="168">
        <v>0</v>
      </c>
      <c r="E141" s="168">
        <v>0</v>
      </c>
      <c r="F141" s="168">
        <v>0</v>
      </c>
      <c r="G141" s="65"/>
    </row>
    <row r="142" spans="1:8" ht="15.75">
      <c r="A142" s="67"/>
      <c r="B142" s="9" t="s">
        <v>233</v>
      </c>
      <c r="C142" s="168">
        <f>C10+C11+C47+C49+C120+C61+C123</f>
        <v>1243</v>
      </c>
      <c r="D142" s="168">
        <f>D10+D11+D47+D49+D120+D61+D123</f>
        <v>80</v>
      </c>
      <c r="E142" s="168">
        <f>E10+E11+E47+E49+E120+E61+E123</f>
        <v>0</v>
      </c>
      <c r="F142" s="168">
        <f>F10+F11+F47+F49+F120+F61+F123</f>
        <v>1323</v>
      </c>
      <c r="G142" s="65"/>
      <c r="H142" s="301">
        <f>SUM(C142:E142)-F142</f>
        <v>0</v>
      </c>
    </row>
    <row r="143" spans="1:8" ht="15.75">
      <c r="A143" s="67"/>
      <c r="B143" s="9" t="s">
        <v>15</v>
      </c>
      <c r="C143" s="168">
        <f>0</f>
        <v>0</v>
      </c>
      <c r="D143" s="168">
        <f>0</f>
        <v>0</v>
      </c>
      <c r="E143" s="168">
        <f>0</f>
        <v>0</v>
      </c>
      <c r="F143" s="168">
        <f>0</f>
        <v>0</v>
      </c>
      <c r="G143" s="65"/>
      <c r="H143" s="301">
        <f aca="true" t="shared" si="3" ref="H143:H168">SUM(C143:E143)-F143</f>
        <v>0</v>
      </c>
    </row>
    <row r="144" spans="1:8" ht="15.75">
      <c r="A144" s="67"/>
      <c r="B144" s="9" t="s">
        <v>16</v>
      </c>
      <c r="C144" s="168">
        <f>C12</f>
        <v>69</v>
      </c>
      <c r="D144" s="168">
        <f>D12</f>
        <v>0</v>
      </c>
      <c r="E144" s="168">
        <f>E12</f>
        <v>0</v>
      </c>
      <c r="F144" s="168">
        <f>F12</f>
        <v>69</v>
      </c>
      <c r="G144" s="65"/>
      <c r="H144" s="301">
        <f t="shared" si="3"/>
        <v>0</v>
      </c>
    </row>
    <row r="145" spans="1:8" ht="15.75">
      <c r="A145" s="68"/>
      <c r="B145" s="9" t="s">
        <v>85</v>
      </c>
      <c r="C145" s="168">
        <f>0</f>
        <v>0</v>
      </c>
      <c r="D145" s="168">
        <f>0</f>
        <v>0</v>
      </c>
      <c r="E145" s="168">
        <f>0</f>
        <v>0</v>
      </c>
      <c r="F145" s="168">
        <f>0</f>
        <v>0</v>
      </c>
      <c r="H145" s="301">
        <f t="shared" si="3"/>
        <v>0</v>
      </c>
    </row>
    <row r="146" spans="1:8" ht="15.75">
      <c r="A146" s="67"/>
      <c r="B146" s="9" t="s">
        <v>50</v>
      </c>
      <c r="C146" s="168">
        <f>C14+C15</f>
        <v>201</v>
      </c>
      <c r="D146" s="168">
        <f>D14+D15</f>
        <v>0</v>
      </c>
      <c r="E146" s="168">
        <f>E14+E15</f>
        <v>0</v>
      </c>
      <c r="F146" s="168">
        <f>F14+F15</f>
        <v>201</v>
      </c>
      <c r="H146" s="301">
        <f t="shared" si="3"/>
        <v>0</v>
      </c>
    </row>
    <row r="147" spans="1:8" ht="15.75">
      <c r="A147" s="68"/>
      <c r="B147" s="9" t="s">
        <v>28</v>
      </c>
      <c r="C147" s="168">
        <f>0</f>
        <v>0</v>
      </c>
      <c r="D147" s="168">
        <f>0</f>
        <v>0</v>
      </c>
      <c r="E147" s="168">
        <f>0</f>
        <v>0</v>
      </c>
      <c r="F147" s="168">
        <f>0</f>
        <v>0</v>
      </c>
      <c r="H147" s="301">
        <f t="shared" si="3"/>
        <v>0</v>
      </c>
    </row>
    <row r="148" spans="1:8" ht="15.75">
      <c r="A148" s="155"/>
      <c r="B148" s="9" t="s">
        <v>17</v>
      </c>
      <c r="C148" s="168">
        <f>C16</f>
        <v>70</v>
      </c>
      <c r="D148" s="168">
        <f>D16</f>
        <v>0</v>
      </c>
      <c r="E148" s="168">
        <f>E16</f>
        <v>0</v>
      </c>
      <c r="F148" s="168">
        <f>F16</f>
        <v>70</v>
      </c>
      <c r="H148" s="301">
        <f t="shared" si="3"/>
        <v>0</v>
      </c>
    </row>
    <row r="149" spans="1:8" ht="15.75">
      <c r="A149" s="155"/>
      <c r="B149" s="9" t="s">
        <v>64</v>
      </c>
      <c r="C149" s="168">
        <f>C66</f>
        <v>50</v>
      </c>
      <c r="D149" s="168">
        <f>D66</f>
        <v>0</v>
      </c>
      <c r="E149" s="168">
        <f>E66</f>
        <v>0</v>
      </c>
      <c r="F149" s="168">
        <f>F66</f>
        <v>50</v>
      </c>
      <c r="H149" s="301">
        <f t="shared" si="3"/>
        <v>0</v>
      </c>
    </row>
    <row r="150" spans="1:8" ht="15.75">
      <c r="A150" s="155"/>
      <c r="B150" s="9" t="s">
        <v>72</v>
      </c>
      <c r="C150" s="168">
        <f>C17+C18+C58</f>
        <v>0</v>
      </c>
      <c r="D150" s="168">
        <f>D17+D18+D58</f>
        <v>340</v>
      </c>
      <c r="E150" s="168">
        <f>E17+E18+E58</f>
        <v>0</v>
      </c>
      <c r="F150" s="168">
        <f>F17+F18+F58</f>
        <v>340</v>
      </c>
      <c r="H150" s="301">
        <f t="shared" si="3"/>
        <v>0</v>
      </c>
    </row>
    <row r="151" spans="1:8" ht="15.75">
      <c r="A151" s="155"/>
      <c r="B151" s="9" t="s">
        <v>26</v>
      </c>
      <c r="C151" s="168">
        <f>C19+C42</f>
        <v>211</v>
      </c>
      <c r="D151" s="168">
        <f>D19+D42</f>
        <v>0</v>
      </c>
      <c r="E151" s="168">
        <f>E19+E42</f>
        <v>0</v>
      </c>
      <c r="F151" s="168">
        <f>F19+F42</f>
        <v>211</v>
      </c>
      <c r="H151" s="301">
        <f t="shared" si="3"/>
        <v>0</v>
      </c>
    </row>
    <row r="152" spans="1:8" ht="15.75">
      <c r="A152" s="155"/>
      <c r="B152" s="9" t="s">
        <v>37</v>
      </c>
      <c r="C152" s="168">
        <f>0</f>
        <v>0</v>
      </c>
      <c r="D152" s="168">
        <f>0</f>
        <v>0</v>
      </c>
      <c r="E152" s="168">
        <f>0</f>
        <v>0</v>
      </c>
      <c r="F152" s="168">
        <f>0</f>
        <v>0</v>
      </c>
      <c r="H152" s="301">
        <f t="shared" si="3"/>
        <v>0</v>
      </c>
    </row>
    <row r="153" spans="1:8" ht="15.75">
      <c r="A153" s="155"/>
      <c r="B153" s="9" t="s">
        <v>18</v>
      </c>
      <c r="C153" s="168">
        <f>C20</f>
        <v>143</v>
      </c>
      <c r="D153" s="168">
        <f>D20</f>
        <v>0</v>
      </c>
      <c r="E153" s="168">
        <f>E20</f>
        <v>0</v>
      </c>
      <c r="F153" s="168">
        <f>F20</f>
        <v>143</v>
      </c>
      <c r="H153" s="301">
        <f t="shared" si="3"/>
        <v>0</v>
      </c>
    </row>
    <row r="154" spans="1:8" ht="15.75">
      <c r="A154" s="155"/>
      <c r="B154" s="9" t="s">
        <v>67</v>
      </c>
      <c r="C154" s="168">
        <v>0</v>
      </c>
      <c r="D154" s="168">
        <v>0</v>
      </c>
      <c r="E154" s="168">
        <v>0</v>
      </c>
      <c r="F154" s="168">
        <v>0</v>
      </c>
      <c r="H154" s="301">
        <f t="shared" si="3"/>
        <v>0</v>
      </c>
    </row>
    <row r="155" spans="1:8" ht="15.75">
      <c r="A155" s="155"/>
      <c r="B155" s="9" t="s">
        <v>234</v>
      </c>
      <c r="C155" s="168">
        <f>C21+C22+C23</f>
        <v>1368</v>
      </c>
      <c r="D155" s="168">
        <f>D21+D22+D23</f>
        <v>10</v>
      </c>
      <c r="E155" s="168">
        <f>E21+E22+E23</f>
        <v>0</v>
      </c>
      <c r="F155" s="168">
        <f>F21+F22+F23</f>
        <v>1378</v>
      </c>
      <c r="H155" s="301">
        <f t="shared" si="3"/>
        <v>0</v>
      </c>
    </row>
    <row r="156" spans="1:8" ht="15.75">
      <c r="A156" s="155"/>
      <c r="B156" s="9" t="s">
        <v>359</v>
      </c>
      <c r="C156" s="168">
        <f>C24+C65</f>
        <v>180</v>
      </c>
      <c r="D156" s="168">
        <f>D24+D65</f>
        <v>0</v>
      </c>
      <c r="E156" s="168">
        <f>E24+E65</f>
        <v>0</v>
      </c>
      <c r="F156" s="168">
        <f>F24+F65</f>
        <v>180</v>
      </c>
      <c r="H156" s="301">
        <f t="shared" si="3"/>
        <v>0</v>
      </c>
    </row>
    <row r="157" spans="1:8" ht="15.75">
      <c r="A157" s="155"/>
      <c r="B157" s="9" t="s">
        <v>19</v>
      </c>
      <c r="C157" s="168">
        <f>C25+C126</f>
        <v>126</v>
      </c>
      <c r="D157" s="168">
        <f>D25+D126</f>
        <v>0</v>
      </c>
      <c r="E157" s="168">
        <f>E25+E126</f>
        <v>0</v>
      </c>
      <c r="F157" s="168">
        <f>F25+F126</f>
        <v>126</v>
      </c>
      <c r="H157" s="301">
        <f t="shared" si="3"/>
        <v>0</v>
      </c>
    </row>
    <row r="158" spans="1:8" ht="15.75">
      <c r="A158" s="156"/>
      <c r="B158" s="9" t="s">
        <v>24</v>
      </c>
      <c r="C158" s="168">
        <f>C26+C43</f>
        <v>305</v>
      </c>
      <c r="D158" s="168">
        <f>D26+D43</f>
        <v>30</v>
      </c>
      <c r="E158" s="168">
        <f>E26+E43</f>
        <v>76</v>
      </c>
      <c r="F158" s="168">
        <f>F26+F43</f>
        <v>411</v>
      </c>
      <c r="H158" s="301">
        <f t="shared" si="3"/>
        <v>0</v>
      </c>
    </row>
    <row r="159" spans="1:8" ht="15.75">
      <c r="A159" s="156"/>
      <c r="B159" s="9" t="s">
        <v>20</v>
      </c>
      <c r="C159" s="168">
        <v>0</v>
      </c>
      <c r="D159" s="168">
        <v>0</v>
      </c>
      <c r="E159" s="168">
        <v>0</v>
      </c>
      <c r="F159" s="168">
        <v>0</v>
      </c>
      <c r="H159" s="301">
        <f t="shared" si="3"/>
        <v>0</v>
      </c>
    </row>
    <row r="160" spans="1:8" ht="15.75">
      <c r="A160" s="156"/>
      <c r="B160" s="9" t="s">
        <v>52</v>
      </c>
      <c r="C160" s="168">
        <f aca="true" t="shared" si="4" ref="C160:F161">C27</f>
        <v>94</v>
      </c>
      <c r="D160" s="168">
        <f t="shared" si="4"/>
        <v>0</v>
      </c>
      <c r="E160" s="168">
        <f t="shared" si="4"/>
        <v>0</v>
      </c>
      <c r="F160" s="168">
        <f t="shared" si="4"/>
        <v>94</v>
      </c>
      <c r="H160" s="301">
        <f t="shared" si="3"/>
        <v>0</v>
      </c>
    </row>
    <row r="161" spans="1:8" ht="15.75">
      <c r="A161" s="156"/>
      <c r="B161" s="9" t="s">
        <v>27</v>
      </c>
      <c r="C161" s="168">
        <f t="shared" si="4"/>
        <v>48</v>
      </c>
      <c r="D161" s="168">
        <f t="shared" si="4"/>
        <v>0</v>
      </c>
      <c r="E161" s="168">
        <f t="shared" si="4"/>
        <v>0</v>
      </c>
      <c r="F161" s="168">
        <f t="shared" si="4"/>
        <v>48</v>
      </c>
      <c r="H161" s="301">
        <f t="shared" si="3"/>
        <v>0</v>
      </c>
    </row>
    <row r="162" spans="1:8" ht="15.75">
      <c r="A162" s="156"/>
      <c r="B162" s="9" t="s">
        <v>21</v>
      </c>
      <c r="C162" s="168">
        <f>C29+C55</f>
        <v>473</v>
      </c>
      <c r="D162" s="168">
        <f>D29+D55</f>
        <v>2894</v>
      </c>
      <c r="E162" s="168">
        <f>E29+E55</f>
        <v>130</v>
      </c>
      <c r="F162" s="168">
        <f>F29+F55</f>
        <v>3497</v>
      </c>
      <c r="H162" s="301">
        <f t="shared" si="3"/>
        <v>0</v>
      </c>
    </row>
    <row r="163" spans="1:8" ht="15.75">
      <c r="A163" s="156"/>
      <c r="B163" s="9" t="s">
        <v>68</v>
      </c>
      <c r="C163" s="168">
        <f>C30</f>
        <v>109</v>
      </c>
      <c r="D163" s="168">
        <f>D30</f>
        <v>0</v>
      </c>
      <c r="E163" s="168">
        <f>E30</f>
        <v>0</v>
      </c>
      <c r="F163" s="168">
        <f>F30</f>
        <v>109</v>
      </c>
      <c r="H163" s="301">
        <f t="shared" si="3"/>
        <v>0</v>
      </c>
    </row>
    <row r="164" spans="1:8" ht="15.75">
      <c r="A164" s="156"/>
      <c r="B164" s="9" t="s">
        <v>49</v>
      </c>
      <c r="C164" s="168">
        <f>C31+C64+C63</f>
        <v>140</v>
      </c>
      <c r="D164" s="168">
        <f>D31+D64+D63</f>
        <v>0</v>
      </c>
      <c r="E164" s="168">
        <f>E31+E64+E63</f>
        <v>0</v>
      </c>
      <c r="F164" s="168">
        <f>F31+F64+F63</f>
        <v>140</v>
      </c>
      <c r="H164" s="301">
        <f t="shared" si="3"/>
        <v>0</v>
      </c>
    </row>
    <row r="165" spans="1:8" ht="15.75">
      <c r="A165" s="156"/>
      <c r="B165" s="9" t="s">
        <v>29</v>
      </c>
      <c r="C165" s="168">
        <f>C32+C56+C62</f>
        <v>412</v>
      </c>
      <c r="D165" s="168">
        <f>D32+D56+D62</f>
        <v>170</v>
      </c>
      <c r="E165" s="168">
        <f>E32+E56+E62</f>
        <v>0</v>
      </c>
      <c r="F165" s="168">
        <f>F32+F56+F62</f>
        <v>582</v>
      </c>
      <c r="H165" s="301">
        <f t="shared" si="3"/>
        <v>0</v>
      </c>
    </row>
    <row r="166" spans="1:8" ht="15.75">
      <c r="A166" s="156"/>
      <c r="B166" s="9" t="s">
        <v>69</v>
      </c>
      <c r="C166" s="168">
        <v>0</v>
      </c>
      <c r="D166" s="168">
        <v>0</v>
      </c>
      <c r="E166" s="168">
        <v>0</v>
      </c>
      <c r="F166" s="168">
        <v>0</v>
      </c>
      <c r="H166" s="301">
        <f t="shared" si="3"/>
        <v>0</v>
      </c>
    </row>
    <row r="167" spans="1:8" ht="15.75">
      <c r="A167" s="156"/>
      <c r="B167" s="9" t="s">
        <v>39</v>
      </c>
      <c r="C167" s="168">
        <v>0</v>
      </c>
      <c r="D167" s="168">
        <v>0</v>
      </c>
      <c r="E167" s="168">
        <v>0</v>
      </c>
      <c r="F167" s="168">
        <v>0</v>
      </c>
      <c r="H167" s="301">
        <f t="shared" si="3"/>
        <v>0</v>
      </c>
    </row>
    <row r="168" spans="1:8" ht="15.75">
      <c r="A168" s="156"/>
      <c r="B168" s="9" t="s">
        <v>22</v>
      </c>
      <c r="C168" s="168">
        <f>C57+C44</f>
        <v>30</v>
      </c>
      <c r="D168" s="168">
        <f>D57+D44</f>
        <v>30</v>
      </c>
      <c r="E168" s="168">
        <f>E57+E44</f>
        <v>0</v>
      </c>
      <c r="F168" s="168">
        <f>F57+F44</f>
        <v>60</v>
      </c>
      <c r="H168" s="301">
        <f t="shared" si="3"/>
        <v>0</v>
      </c>
    </row>
    <row r="169" spans="1:8" ht="31.5">
      <c r="A169" s="156"/>
      <c r="B169" s="112" t="s">
        <v>235</v>
      </c>
      <c r="C169" s="203">
        <f>SUM(C141:C168)</f>
        <v>5272</v>
      </c>
      <c r="D169" s="203">
        <f>SUM(D141:D168)</f>
        <v>3554</v>
      </c>
      <c r="E169" s="203">
        <f>SUM(E141:E168)</f>
        <v>206</v>
      </c>
      <c r="F169" s="203">
        <f>SUM(F141:F168)</f>
        <v>9032</v>
      </c>
      <c r="G169" s="295"/>
      <c r="H169" s="295"/>
    </row>
    <row r="170" spans="1:8" ht="15.75">
      <c r="A170" s="156"/>
      <c r="B170" s="156"/>
      <c r="C170" s="429">
        <f>C137-C133</f>
        <v>5272</v>
      </c>
      <c r="D170" s="429">
        <f>D137-D133</f>
        <v>3554</v>
      </c>
      <c r="E170" s="429">
        <f>E137-E133</f>
        <v>206</v>
      </c>
      <c r="F170" s="429">
        <f>F137-F133</f>
        <v>9032</v>
      </c>
      <c r="G170" s="453">
        <f>F137-F133</f>
        <v>9032</v>
      </c>
      <c r="H170" s="453">
        <f>G170-F170</f>
        <v>0</v>
      </c>
    </row>
    <row r="171" spans="1:6" ht="15">
      <c r="A171" s="156"/>
      <c r="B171" s="156"/>
      <c r="C171" s="429">
        <f>C170-C169</f>
        <v>0</v>
      </c>
      <c r="D171" s="429">
        <f>D170-D169</f>
        <v>0</v>
      </c>
      <c r="E171" s="429">
        <f>E170-E169</f>
        <v>0</v>
      </c>
      <c r="F171" s="429">
        <f>F170-F169</f>
        <v>0</v>
      </c>
    </row>
    <row r="172" spans="1:6" ht="15.75">
      <c r="A172" s="156"/>
      <c r="B172" s="156"/>
      <c r="C172" s="156"/>
      <c r="D172" s="156"/>
      <c r="E172" s="156"/>
      <c r="F172" s="201"/>
    </row>
    <row r="173" spans="1:6" ht="15.75">
      <c r="A173" s="156"/>
      <c r="B173" s="156"/>
      <c r="C173" s="156"/>
      <c r="D173" s="156"/>
      <c r="E173" s="156"/>
      <c r="F173" s="201"/>
    </row>
    <row r="174" spans="1:6" ht="15.75">
      <c r="A174" s="156"/>
      <c r="B174" s="156"/>
      <c r="C174" s="156"/>
      <c r="D174" s="156"/>
      <c r="E174" s="156"/>
      <c r="F174" s="201"/>
    </row>
    <row r="175" spans="1:6" ht="15.75">
      <c r="A175" s="156"/>
      <c r="B175" s="156"/>
      <c r="C175" s="156"/>
      <c r="D175" s="156"/>
      <c r="E175" s="156"/>
      <c r="F175" s="201"/>
    </row>
    <row r="176" spans="1:6" ht="15.75">
      <c r="A176" s="156"/>
      <c r="B176" s="156"/>
      <c r="C176" s="156"/>
      <c r="D176" s="156"/>
      <c r="E176" s="156"/>
      <c r="F176" s="201"/>
    </row>
    <row r="177" spans="1:6" ht="15.75">
      <c r="A177" s="156"/>
      <c r="B177" s="156"/>
      <c r="C177" s="156"/>
      <c r="D177" s="156"/>
      <c r="E177" s="156"/>
      <c r="F177" s="201"/>
    </row>
    <row r="178" spans="1:6" ht="15.75">
      <c r="A178" s="156"/>
      <c r="B178" s="156"/>
      <c r="C178" s="156"/>
      <c r="D178" s="156"/>
      <c r="E178" s="156"/>
      <c r="F178" s="201"/>
    </row>
    <row r="179" spans="1:6" ht="15.75">
      <c r="A179" s="156"/>
      <c r="B179" s="156"/>
      <c r="C179" s="156"/>
      <c r="D179" s="156"/>
      <c r="E179" s="156"/>
      <c r="F179" s="201"/>
    </row>
    <row r="180" spans="1:6" ht="15.75">
      <c r="A180" s="156"/>
      <c r="B180" s="156"/>
      <c r="C180" s="156"/>
      <c r="D180" s="156"/>
      <c r="E180" s="156"/>
      <c r="F180" s="201"/>
    </row>
    <row r="181" spans="1:6" ht="15.75">
      <c r="A181" s="156"/>
      <c r="B181" s="156"/>
      <c r="C181" s="156"/>
      <c r="D181" s="156"/>
      <c r="E181" s="156"/>
      <c r="F181" s="201"/>
    </row>
    <row r="182" spans="1:6" ht="15.75">
      <c r="A182" s="156"/>
      <c r="B182" s="156"/>
      <c r="C182" s="156"/>
      <c r="D182" s="156"/>
      <c r="E182" s="156"/>
      <c r="F182" s="201"/>
    </row>
    <row r="183" spans="1:6" ht="15.75">
      <c r="A183" s="156"/>
      <c r="B183" s="156"/>
      <c r="C183" s="156"/>
      <c r="D183" s="156"/>
      <c r="E183" s="156"/>
      <c r="F183" s="201"/>
    </row>
    <row r="184" spans="1:6" ht="15.75">
      <c r="A184" s="156"/>
      <c r="B184" s="156"/>
      <c r="C184" s="156"/>
      <c r="D184" s="156"/>
      <c r="E184" s="156"/>
      <c r="F184" s="201"/>
    </row>
    <row r="185" spans="1:6" ht="15.75">
      <c r="A185" s="156"/>
      <c r="B185" s="156"/>
      <c r="C185" s="156"/>
      <c r="D185" s="156"/>
      <c r="E185" s="156"/>
      <c r="F185" s="201"/>
    </row>
    <row r="186" spans="1:6" ht="15.75">
      <c r="A186" s="156"/>
      <c r="B186" s="156"/>
      <c r="C186" s="156"/>
      <c r="D186" s="156"/>
      <c r="E186" s="156"/>
      <c r="F186" s="201"/>
    </row>
    <row r="187" spans="1:6" ht="15.75">
      <c r="A187" s="156"/>
      <c r="B187" s="156"/>
      <c r="C187" s="156"/>
      <c r="D187" s="156"/>
      <c r="E187" s="156"/>
      <c r="F187" s="201"/>
    </row>
    <row r="188" spans="1:6" ht="15.75">
      <c r="A188" s="156"/>
      <c r="B188" s="156"/>
      <c r="C188" s="156"/>
      <c r="D188" s="156"/>
      <c r="E188" s="156"/>
      <c r="F188" s="201"/>
    </row>
    <row r="189" spans="1:6" ht="15.75">
      <c r="A189" s="156"/>
      <c r="B189" s="156"/>
      <c r="C189" s="156"/>
      <c r="D189" s="156"/>
      <c r="E189" s="156"/>
      <c r="F189" s="201"/>
    </row>
    <row r="190" spans="1:6" ht="15.75">
      <c r="A190" s="156"/>
      <c r="B190" s="156"/>
      <c r="C190" s="156"/>
      <c r="D190" s="156"/>
      <c r="E190" s="156"/>
      <c r="F190" s="201"/>
    </row>
    <row r="191" spans="1:6" ht="15.75">
      <c r="A191" s="156"/>
      <c r="B191" s="156"/>
      <c r="C191" s="156"/>
      <c r="D191" s="156"/>
      <c r="E191" s="156"/>
      <c r="F191" s="201"/>
    </row>
    <row r="192" spans="1:6" ht="15.75">
      <c r="A192" s="156"/>
      <c r="B192" s="156"/>
      <c r="C192" s="156"/>
      <c r="D192" s="156"/>
      <c r="E192" s="156"/>
      <c r="F192" s="201"/>
    </row>
    <row r="193" spans="1:6" ht="15.75">
      <c r="A193" s="156"/>
      <c r="B193" s="156"/>
      <c r="C193" s="156"/>
      <c r="D193" s="156"/>
      <c r="E193" s="156"/>
      <c r="F193" s="201"/>
    </row>
    <row r="194" spans="1:6" ht="15.75">
      <c r="A194" s="156"/>
      <c r="B194" s="156"/>
      <c r="C194" s="156"/>
      <c r="D194" s="156"/>
      <c r="E194" s="156"/>
      <c r="F194" s="201"/>
    </row>
    <row r="195" spans="1:6" ht="15.75">
      <c r="A195" s="156"/>
      <c r="B195" s="156"/>
      <c r="C195" s="156"/>
      <c r="D195" s="156"/>
      <c r="E195" s="156"/>
      <c r="F195" s="201"/>
    </row>
    <row r="196" spans="1:6" ht="15.75">
      <c r="A196" s="156"/>
      <c r="B196" s="156"/>
      <c r="C196" s="156"/>
      <c r="D196" s="156"/>
      <c r="E196" s="156"/>
      <c r="F196" s="201"/>
    </row>
    <row r="197" spans="1:6" ht="15.75">
      <c r="A197" s="156"/>
      <c r="B197" s="156"/>
      <c r="C197" s="156"/>
      <c r="D197" s="156"/>
      <c r="E197" s="156"/>
      <c r="F197" s="201"/>
    </row>
    <row r="198" spans="1:6" ht="15.75">
      <c r="A198" s="156"/>
      <c r="B198" s="156"/>
      <c r="C198" s="156"/>
      <c r="D198" s="156"/>
      <c r="E198" s="156"/>
      <c r="F198" s="201"/>
    </row>
    <row r="199" spans="1:6" ht="15.75">
      <c r="A199" s="156"/>
      <c r="B199" s="156"/>
      <c r="C199" s="156"/>
      <c r="D199" s="156"/>
      <c r="E199" s="156"/>
      <c r="F199" s="201"/>
    </row>
    <row r="200" spans="1:6" ht="15.75">
      <c r="A200" s="156"/>
      <c r="B200" s="156"/>
      <c r="C200" s="156"/>
      <c r="D200" s="156"/>
      <c r="E200" s="156"/>
      <c r="F200" s="201"/>
    </row>
    <row r="201" spans="1:6" ht="15.75">
      <c r="A201" s="156"/>
      <c r="B201" s="156"/>
      <c r="C201" s="156"/>
      <c r="D201" s="156"/>
      <c r="E201" s="156"/>
      <c r="F201" s="201"/>
    </row>
    <row r="202" spans="1:6" ht="15.75">
      <c r="A202" s="156"/>
      <c r="B202" s="156"/>
      <c r="C202" s="156"/>
      <c r="D202" s="156"/>
      <c r="E202" s="156"/>
      <c r="F202" s="201"/>
    </row>
    <row r="203" spans="1:6" ht="15.75">
      <c r="A203" s="156"/>
      <c r="B203" s="156"/>
      <c r="C203" s="156"/>
      <c r="D203" s="156"/>
      <c r="E203" s="156"/>
      <c r="F203" s="201"/>
    </row>
    <row r="204" spans="1:6" ht="15.75">
      <c r="A204" s="156"/>
      <c r="B204" s="156"/>
      <c r="C204" s="156"/>
      <c r="D204" s="156"/>
      <c r="E204" s="156"/>
      <c r="F204" s="201"/>
    </row>
  </sheetData>
  <sheetProtection/>
  <autoFilter ref="A8:Q148"/>
  <mergeCells count="24">
    <mergeCell ref="A122:F122"/>
    <mergeCell ref="A60:F60"/>
    <mergeCell ref="A9:F9"/>
    <mergeCell ref="A35:F35"/>
    <mergeCell ref="A41:F41"/>
    <mergeCell ref="A46:F46"/>
    <mergeCell ref="A51:F51"/>
    <mergeCell ref="A54:F54"/>
    <mergeCell ref="A132:F132"/>
    <mergeCell ref="A68:F68"/>
    <mergeCell ref="A76:F76"/>
    <mergeCell ref="A125:F125"/>
    <mergeCell ref="A83:F83"/>
    <mergeCell ref="A90:F90"/>
    <mergeCell ref="A110:F110"/>
    <mergeCell ref="A96:F96"/>
    <mergeCell ref="A103:F103"/>
    <mergeCell ref="A119:F119"/>
    <mergeCell ref="A3:F3"/>
    <mergeCell ref="A5:F5"/>
    <mergeCell ref="A7:A8"/>
    <mergeCell ref="B7:B8"/>
    <mergeCell ref="F7:F8"/>
    <mergeCell ref="C7:E7"/>
  </mergeCells>
  <printOptions/>
  <pageMargins left="0.984251968503937" right="0.3937007874015748" top="0.7480314960629921" bottom="0.5511811023622047" header="0.31496062992125984" footer="0.31496062992125984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22"/>
  <sheetViews>
    <sheetView view="pageBreakPreview" zoomScale="106" zoomScaleSheetLayoutView="106" zoomScalePageLayoutView="0" workbookViewId="0" topLeftCell="A1">
      <selection activeCell="C25" sqref="B25:C25"/>
    </sheetView>
  </sheetViews>
  <sheetFormatPr defaultColWidth="9.140625" defaultRowHeight="12.75"/>
  <cols>
    <col min="1" max="1" width="7.28125" style="3" customWidth="1"/>
    <col min="2" max="2" width="45.421875" style="3" customWidth="1"/>
    <col min="3" max="3" width="18.8515625" style="3" customWidth="1"/>
    <col min="4" max="4" width="11.421875" style="3" bestFit="1" customWidth="1"/>
    <col min="5" max="5" width="9.140625" style="3" customWidth="1"/>
    <col min="6" max="6" width="12.28125" style="3" customWidth="1"/>
    <col min="7" max="7" width="10.28125" style="3" customWidth="1"/>
    <col min="8" max="16384" width="9.140625" style="3" customWidth="1"/>
  </cols>
  <sheetData>
    <row r="1" spans="1:3" ht="12.75">
      <c r="A1" s="426"/>
      <c r="C1" s="426" t="s">
        <v>298</v>
      </c>
    </row>
    <row r="3" spans="2:3" ht="63" customHeight="1">
      <c r="B3" s="666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C3" s="666"/>
    </row>
    <row r="4" spans="2:6" ht="15" customHeight="1">
      <c r="B4" s="667" t="s">
        <v>114</v>
      </c>
      <c r="C4" s="667"/>
      <c r="D4" s="4"/>
      <c r="E4" s="4"/>
      <c r="F4" s="5"/>
    </row>
    <row r="5" spans="1:6" ht="15" customHeight="1">
      <c r="A5" s="70"/>
      <c r="B5" s="70"/>
      <c r="C5" s="70"/>
      <c r="D5" s="4"/>
      <c r="E5" s="4"/>
      <c r="F5" s="5"/>
    </row>
    <row r="6" spans="1:6" ht="34.5" customHeight="1">
      <c r="A6" s="117" t="s">
        <v>76</v>
      </c>
      <c r="B6" s="118" t="s">
        <v>115</v>
      </c>
      <c r="C6" s="117" t="s">
        <v>188</v>
      </c>
      <c r="D6" s="5"/>
      <c r="E6" s="5"/>
      <c r="F6" s="5"/>
    </row>
    <row r="7" spans="1:3" ht="15" customHeight="1">
      <c r="A7" s="120">
        <v>1</v>
      </c>
      <c r="B7" s="118">
        <v>2</v>
      </c>
      <c r="C7" s="120">
        <v>3</v>
      </c>
    </row>
    <row r="8" spans="1:3" ht="20.25" customHeight="1">
      <c r="A8" s="550" t="s">
        <v>479</v>
      </c>
      <c r="B8" s="7" t="s">
        <v>228</v>
      </c>
      <c r="C8" s="222">
        <v>10894</v>
      </c>
    </row>
    <row r="9" spans="1:3" ht="21" customHeight="1">
      <c r="A9" s="551" t="s">
        <v>480</v>
      </c>
      <c r="B9" s="386" t="s">
        <v>477</v>
      </c>
      <c r="C9" s="387">
        <v>26000</v>
      </c>
    </row>
    <row r="10" spans="1:3" s="549" customFormat="1" ht="21" customHeight="1">
      <c r="A10" s="552"/>
      <c r="B10" s="547" t="s">
        <v>478</v>
      </c>
      <c r="C10" s="548">
        <v>12</v>
      </c>
    </row>
    <row r="11" spans="1:4" ht="49.5" customHeight="1">
      <c r="A11" s="553" t="s">
        <v>481</v>
      </c>
      <c r="B11" s="277" t="s">
        <v>177</v>
      </c>
      <c r="C11" s="223">
        <v>2111</v>
      </c>
      <c r="D11" s="11"/>
    </row>
    <row r="12" spans="1:6" ht="30.75" customHeight="1">
      <c r="A12" s="554"/>
      <c r="B12" s="90" t="s">
        <v>48</v>
      </c>
      <c r="C12" s="91">
        <f>C11+C9+C8</f>
        <v>39005</v>
      </c>
      <c r="D12" s="12"/>
      <c r="E12" s="71"/>
      <c r="F12" s="71"/>
    </row>
    <row r="15" spans="1:3" ht="12.75">
      <c r="A15" s="6"/>
      <c r="C15" s="6"/>
    </row>
    <row r="16" spans="1:3" ht="12.75">
      <c r="A16" s="6"/>
      <c r="C16" s="6"/>
    </row>
    <row r="18" spans="1:3" ht="12.75">
      <c r="A18" s="6"/>
      <c r="C18" s="6"/>
    </row>
    <row r="19" spans="1:3" ht="12.75">
      <c r="A19" s="6"/>
      <c r="C19" s="6"/>
    </row>
    <row r="21" spans="1:3" ht="12.75">
      <c r="A21" s="6"/>
      <c r="C21" s="6"/>
    </row>
    <row r="22" spans="1:3" ht="12.75">
      <c r="A22" s="6"/>
      <c r="C22" s="6"/>
    </row>
  </sheetData>
  <sheetProtection/>
  <mergeCells count="2">
    <mergeCell ref="B3:C3"/>
    <mergeCell ref="B4:C4"/>
  </mergeCells>
  <printOptions/>
  <pageMargins left="0.7" right="0.7" top="0.75" bottom="0.75" header="0.3" footer="0.3"/>
  <pageSetup horizontalDpi="600" verticalDpi="600" orientation="portrait" paperSize="9" scale="95" r:id="rId1"/>
  <colBreaks count="1" manualBreakCount="1">
    <brk id="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O29"/>
  <sheetViews>
    <sheetView view="pageBreakPreview" zoomScale="90" zoomScaleSheetLayoutView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10" sqref="K10:Q29"/>
    </sheetView>
  </sheetViews>
  <sheetFormatPr defaultColWidth="9.140625" defaultRowHeight="12.75"/>
  <cols>
    <col min="1" max="1" width="7.421875" style="226" customWidth="1"/>
    <col min="2" max="2" width="49.421875" style="226" customWidth="1"/>
    <col min="3" max="3" width="13.7109375" style="226" customWidth="1"/>
    <col min="4" max="4" width="11.7109375" style="226" customWidth="1"/>
    <col min="5" max="5" width="12.57421875" style="226" customWidth="1"/>
    <col min="6" max="6" width="9.140625" style="226" customWidth="1"/>
    <col min="7" max="7" width="11.421875" style="226" customWidth="1"/>
    <col min="8" max="8" width="13.421875" style="226" customWidth="1"/>
    <col min="9" max="9" width="13.00390625" style="226" customWidth="1"/>
    <col min="10" max="16384" width="9.140625" style="226" customWidth="1"/>
  </cols>
  <sheetData>
    <row r="1" spans="5:10" ht="15.75">
      <c r="E1" s="646"/>
      <c r="F1" s="646"/>
      <c r="I1" s="646" t="s">
        <v>409</v>
      </c>
      <c r="J1" s="646"/>
    </row>
    <row r="3" spans="1:10" ht="45.75" customHeight="1">
      <c r="A3" s="629" t="str">
        <f>'4. СМП'!B3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629"/>
      <c r="C3" s="629"/>
      <c r="D3" s="629"/>
      <c r="E3" s="629"/>
      <c r="F3" s="629"/>
      <c r="G3" s="629"/>
      <c r="H3" s="629"/>
      <c r="I3" s="629"/>
      <c r="J3" s="629"/>
    </row>
    <row r="4" spans="1:9" ht="19.5" customHeight="1">
      <c r="A4" s="87"/>
      <c r="B4" s="87"/>
      <c r="C4" s="87"/>
      <c r="D4" s="87"/>
      <c r="E4" s="87"/>
      <c r="G4" s="87"/>
      <c r="H4" s="87"/>
      <c r="I4" s="87"/>
    </row>
    <row r="5" spans="1:10" ht="15.75" customHeight="1">
      <c r="A5" s="645" t="s">
        <v>147</v>
      </c>
      <c r="B5" s="645"/>
      <c r="C5" s="645"/>
      <c r="D5" s="645"/>
      <c r="E5" s="645"/>
      <c r="F5" s="645"/>
      <c r="G5" s="645"/>
      <c r="H5" s="645"/>
      <c r="I5" s="645"/>
      <c r="J5" s="645"/>
    </row>
    <row r="7" spans="1:10" ht="29.25" customHeight="1">
      <c r="A7" s="677"/>
      <c r="B7" s="668" t="s">
        <v>107</v>
      </c>
      <c r="C7" s="671" t="s">
        <v>42</v>
      </c>
      <c r="D7" s="671"/>
      <c r="E7" s="671"/>
      <c r="F7" s="671"/>
      <c r="G7" s="671" t="s">
        <v>55</v>
      </c>
      <c r="H7" s="671"/>
      <c r="I7" s="671"/>
      <c r="J7" s="671"/>
    </row>
    <row r="8" spans="1:10" ht="17.25" customHeight="1">
      <c r="A8" s="678"/>
      <c r="B8" s="669"/>
      <c r="C8" s="672" t="s">
        <v>65</v>
      </c>
      <c r="D8" s="674" t="s">
        <v>210</v>
      </c>
      <c r="E8" s="675"/>
      <c r="F8" s="676"/>
      <c r="G8" s="672" t="s">
        <v>65</v>
      </c>
      <c r="H8" s="674" t="s">
        <v>210</v>
      </c>
      <c r="I8" s="675"/>
      <c r="J8" s="676"/>
    </row>
    <row r="9" spans="1:10" ht="21" customHeight="1">
      <c r="A9" s="679"/>
      <c r="B9" s="670"/>
      <c r="C9" s="673"/>
      <c r="D9" s="227" t="s">
        <v>214</v>
      </c>
      <c r="E9" s="227" t="s">
        <v>215</v>
      </c>
      <c r="F9" s="227" t="s">
        <v>216</v>
      </c>
      <c r="G9" s="673"/>
      <c r="H9" s="227" t="s">
        <v>214</v>
      </c>
      <c r="I9" s="227" t="s">
        <v>215</v>
      </c>
      <c r="J9" s="227" t="s">
        <v>216</v>
      </c>
    </row>
    <row r="10" spans="1:10" ht="15.75">
      <c r="A10" s="96">
        <v>1</v>
      </c>
      <c r="B10" s="228">
        <v>2</v>
      </c>
      <c r="C10" s="383">
        <v>4</v>
      </c>
      <c r="D10" s="296"/>
      <c r="E10" s="296">
        <v>5</v>
      </c>
      <c r="F10" s="296">
        <v>6</v>
      </c>
      <c r="G10" s="587">
        <v>4</v>
      </c>
      <c r="H10" s="587"/>
      <c r="I10" s="587">
        <v>5</v>
      </c>
      <c r="J10" s="587">
        <v>6</v>
      </c>
    </row>
    <row r="11" spans="1:15" s="230" customFormat="1" ht="15.75">
      <c r="A11" s="104"/>
      <c r="B11" s="229" t="s">
        <v>129</v>
      </c>
      <c r="C11" s="388">
        <f aca="true" t="shared" si="0" ref="C11:J11">SUM(C12:C23)</f>
        <v>4695</v>
      </c>
      <c r="D11" s="99">
        <f t="shared" si="0"/>
        <v>1995</v>
      </c>
      <c r="E11" s="99">
        <f t="shared" si="0"/>
        <v>1700</v>
      </c>
      <c r="F11" s="99">
        <f t="shared" si="0"/>
        <v>1000</v>
      </c>
      <c r="G11" s="388">
        <f t="shared" si="0"/>
        <v>5</v>
      </c>
      <c r="H11" s="99">
        <f t="shared" si="0"/>
        <v>5</v>
      </c>
      <c r="I11" s="99">
        <f t="shared" si="0"/>
        <v>0</v>
      </c>
      <c r="J11" s="99">
        <f t="shared" si="0"/>
        <v>0</v>
      </c>
      <c r="L11" s="593"/>
      <c r="M11" s="593"/>
      <c r="N11" s="593"/>
      <c r="O11" s="593"/>
    </row>
    <row r="12" spans="1:12" s="230" customFormat="1" ht="16.5" customHeight="1">
      <c r="A12" s="105">
        <v>1</v>
      </c>
      <c r="B12" s="115" t="s">
        <v>130</v>
      </c>
      <c r="C12" s="77">
        <f>SUM(D12:F12)</f>
        <v>0</v>
      </c>
      <c r="D12" s="77"/>
      <c r="E12" s="77"/>
      <c r="F12" s="77"/>
      <c r="G12" s="592">
        <f>SUM(H12:J12)</f>
        <v>2</v>
      </c>
      <c r="H12" s="592">
        <v>2</v>
      </c>
      <c r="I12" s="77"/>
      <c r="J12" s="77"/>
      <c r="L12" s="593"/>
    </row>
    <row r="13" spans="1:14" s="230" customFormat="1" ht="16.5" customHeight="1">
      <c r="A13" s="105">
        <v>2</v>
      </c>
      <c r="B13" s="115" t="s">
        <v>131</v>
      </c>
      <c r="C13" s="77">
        <f>SUM(D13:F13)</f>
        <v>2597</v>
      </c>
      <c r="D13" s="592">
        <f>1050-3</f>
        <v>1047</v>
      </c>
      <c r="E13" s="77">
        <v>1000</v>
      </c>
      <c r="F13" s="77">
        <v>550</v>
      </c>
      <c r="G13" s="77">
        <f>SUM(H13:J13)</f>
        <v>0</v>
      </c>
      <c r="H13" s="77"/>
      <c r="I13" s="77"/>
      <c r="J13" s="77"/>
      <c r="N13" s="593"/>
    </row>
    <row r="14" spans="1:10" ht="16.5" customHeight="1">
      <c r="A14" s="105">
        <v>3</v>
      </c>
      <c r="B14" s="115" t="s">
        <v>132</v>
      </c>
      <c r="C14" s="77">
        <f aca="true" t="shared" si="1" ref="C14:C28">SUM(D14:F14)</f>
        <v>1900</v>
      </c>
      <c r="D14" s="77">
        <v>800</v>
      </c>
      <c r="E14" s="77">
        <v>650</v>
      </c>
      <c r="F14" s="77">
        <v>450</v>
      </c>
      <c r="G14" s="77">
        <f aca="true" t="shared" si="2" ref="G14:G23">SUM(H14:J14)</f>
        <v>0</v>
      </c>
      <c r="H14" s="77"/>
      <c r="I14" s="77"/>
      <c r="J14" s="77"/>
    </row>
    <row r="15" spans="1:14" s="230" customFormat="1" ht="16.5" customHeight="1">
      <c r="A15" s="105">
        <v>4</v>
      </c>
      <c r="B15" s="115" t="s">
        <v>133</v>
      </c>
      <c r="C15" s="77">
        <f t="shared" si="1"/>
        <v>98</v>
      </c>
      <c r="D15" s="592">
        <f>50-2</f>
        <v>48</v>
      </c>
      <c r="E15" s="77">
        <v>50</v>
      </c>
      <c r="F15" s="77">
        <v>0</v>
      </c>
      <c r="G15" s="592">
        <f t="shared" si="2"/>
        <v>2</v>
      </c>
      <c r="H15" s="592">
        <v>2</v>
      </c>
      <c r="I15" s="77"/>
      <c r="J15" s="77"/>
      <c r="L15" s="593"/>
      <c r="N15" s="593"/>
    </row>
    <row r="16" spans="1:12" s="230" customFormat="1" ht="16.5" customHeight="1">
      <c r="A16" s="105">
        <v>5</v>
      </c>
      <c r="B16" s="115" t="s">
        <v>134</v>
      </c>
      <c r="C16" s="77">
        <f t="shared" si="1"/>
        <v>0</v>
      </c>
      <c r="D16" s="77"/>
      <c r="E16" s="77"/>
      <c r="F16" s="77"/>
      <c r="G16" s="592">
        <f t="shared" si="2"/>
        <v>1</v>
      </c>
      <c r="H16" s="592">
        <v>1</v>
      </c>
      <c r="I16" s="77"/>
      <c r="J16" s="77"/>
      <c r="L16" s="593"/>
    </row>
    <row r="17" spans="1:10" s="230" customFormat="1" ht="16.5" customHeight="1">
      <c r="A17" s="105">
        <v>6</v>
      </c>
      <c r="B17" s="115" t="s">
        <v>135</v>
      </c>
      <c r="C17" s="77">
        <f t="shared" si="1"/>
        <v>0</v>
      </c>
      <c r="D17" s="77"/>
      <c r="E17" s="77"/>
      <c r="F17" s="77"/>
      <c r="G17" s="77">
        <f t="shared" si="2"/>
        <v>0</v>
      </c>
      <c r="H17" s="77"/>
      <c r="I17" s="77"/>
      <c r="J17" s="77"/>
    </row>
    <row r="18" spans="1:10" s="230" customFormat="1" ht="16.5" customHeight="1">
      <c r="A18" s="105">
        <v>7</v>
      </c>
      <c r="B18" s="115" t="s">
        <v>136</v>
      </c>
      <c r="C18" s="77">
        <f t="shared" si="1"/>
        <v>0</v>
      </c>
      <c r="D18" s="77"/>
      <c r="E18" s="77"/>
      <c r="F18" s="77"/>
      <c r="G18" s="77">
        <f t="shared" si="2"/>
        <v>0</v>
      </c>
      <c r="H18" s="77"/>
      <c r="I18" s="77"/>
      <c r="J18" s="77"/>
    </row>
    <row r="19" spans="1:10" s="230" customFormat="1" ht="16.5" customHeight="1">
      <c r="A19" s="105">
        <v>8</v>
      </c>
      <c r="B19" s="115" t="s">
        <v>137</v>
      </c>
      <c r="C19" s="77">
        <f t="shared" si="1"/>
        <v>0</v>
      </c>
      <c r="D19" s="77"/>
      <c r="E19" s="77"/>
      <c r="F19" s="77"/>
      <c r="G19" s="77">
        <f t="shared" si="2"/>
        <v>0</v>
      </c>
      <c r="H19" s="77"/>
      <c r="I19" s="77"/>
      <c r="J19" s="77"/>
    </row>
    <row r="20" spans="1:10" s="230" customFormat="1" ht="16.5" customHeight="1">
      <c r="A20" s="105">
        <v>9</v>
      </c>
      <c r="B20" s="115" t="s">
        <v>138</v>
      </c>
      <c r="C20" s="77">
        <f t="shared" si="1"/>
        <v>100</v>
      </c>
      <c r="D20" s="77">
        <v>100</v>
      </c>
      <c r="E20" s="77"/>
      <c r="F20" s="77"/>
      <c r="G20" s="77">
        <f t="shared" si="2"/>
        <v>0</v>
      </c>
      <c r="H20" s="77"/>
      <c r="I20" s="77"/>
      <c r="J20" s="77"/>
    </row>
    <row r="21" spans="1:10" s="230" customFormat="1" ht="16.5" customHeight="1">
      <c r="A21" s="105">
        <v>10</v>
      </c>
      <c r="B21" s="115" t="s">
        <v>139</v>
      </c>
      <c r="C21" s="77">
        <f t="shared" si="1"/>
        <v>0</v>
      </c>
      <c r="D21" s="77">
        <v>0</v>
      </c>
      <c r="E21" s="77"/>
      <c r="F21" s="77"/>
      <c r="G21" s="77">
        <f t="shared" si="2"/>
        <v>0</v>
      </c>
      <c r="H21" s="77"/>
      <c r="I21" s="77"/>
      <c r="J21" s="77"/>
    </row>
    <row r="22" spans="1:10" s="230" customFormat="1" ht="16.5" customHeight="1">
      <c r="A22" s="105">
        <v>11</v>
      </c>
      <c r="B22" s="115" t="s">
        <v>140</v>
      </c>
      <c r="C22" s="77">
        <f t="shared" si="1"/>
        <v>0</v>
      </c>
      <c r="D22" s="77"/>
      <c r="E22" s="77"/>
      <c r="F22" s="77"/>
      <c r="G22" s="77">
        <f t="shared" si="2"/>
        <v>0</v>
      </c>
      <c r="H22" s="77"/>
      <c r="I22" s="77"/>
      <c r="J22" s="77"/>
    </row>
    <row r="23" spans="1:10" s="230" customFormat="1" ht="16.5" customHeight="1">
      <c r="A23" s="105">
        <v>12</v>
      </c>
      <c r="B23" s="115" t="s">
        <v>141</v>
      </c>
      <c r="C23" s="77">
        <f t="shared" si="1"/>
        <v>0</v>
      </c>
      <c r="D23" s="77">
        <v>0</v>
      </c>
      <c r="E23" s="77"/>
      <c r="F23" s="77"/>
      <c r="G23" s="77">
        <f t="shared" si="2"/>
        <v>0</v>
      </c>
      <c r="H23" s="77"/>
      <c r="I23" s="77"/>
      <c r="J23" s="77"/>
    </row>
    <row r="24" spans="1:12" s="230" customFormat="1" ht="15.75">
      <c r="A24" s="104"/>
      <c r="B24" s="229" t="s">
        <v>142</v>
      </c>
      <c r="C24" s="388">
        <f aca="true" t="shared" si="3" ref="C24:J24">SUM(C25:C28)</f>
        <v>1275</v>
      </c>
      <c r="D24" s="388">
        <f t="shared" si="3"/>
        <v>285</v>
      </c>
      <c r="E24" s="388">
        <f t="shared" si="3"/>
        <v>990</v>
      </c>
      <c r="F24" s="388">
        <f t="shared" si="3"/>
        <v>0</v>
      </c>
      <c r="G24" s="388">
        <f t="shared" si="3"/>
        <v>0</v>
      </c>
      <c r="H24" s="388">
        <f t="shared" si="3"/>
        <v>0</v>
      </c>
      <c r="I24" s="388">
        <f t="shared" si="3"/>
        <v>0</v>
      </c>
      <c r="J24" s="388">
        <f t="shared" si="3"/>
        <v>0</v>
      </c>
      <c r="L24" s="593"/>
    </row>
    <row r="25" spans="1:10" s="230" customFormat="1" ht="23.25" customHeight="1">
      <c r="A25" s="105">
        <v>13</v>
      </c>
      <c r="B25" s="106" t="s">
        <v>143</v>
      </c>
      <c r="C25" s="77">
        <f t="shared" si="1"/>
        <v>0</v>
      </c>
      <c r="D25" s="77">
        <v>0</v>
      </c>
      <c r="E25" s="77">
        <v>0</v>
      </c>
      <c r="F25" s="77"/>
      <c r="G25" s="77">
        <f>SUM(H25:J25)</f>
        <v>0</v>
      </c>
      <c r="H25" s="77"/>
      <c r="I25" s="77"/>
      <c r="J25" s="77"/>
    </row>
    <row r="26" spans="1:10" s="230" customFormat="1" ht="15.75">
      <c r="A26" s="105">
        <v>14</v>
      </c>
      <c r="B26" s="106" t="s">
        <v>144</v>
      </c>
      <c r="C26" s="77">
        <f t="shared" si="1"/>
        <v>180</v>
      </c>
      <c r="D26" s="77">
        <v>90</v>
      </c>
      <c r="E26" s="77">
        <v>90</v>
      </c>
      <c r="F26" s="77"/>
      <c r="G26" s="77">
        <f>SUM(H26:J26)</f>
        <v>0</v>
      </c>
      <c r="H26" s="77"/>
      <c r="I26" s="77"/>
      <c r="J26" s="77"/>
    </row>
    <row r="27" spans="1:10" ht="34.5" customHeight="1">
      <c r="A27" s="105">
        <v>15</v>
      </c>
      <c r="B27" s="106" t="s">
        <v>145</v>
      </c>
      <c r="C27" s="77">
        <f t="shared" si="1"/>
        <v>1095</v>
      </c>
      <c r="D27" s="77">
        <v>195</v>
      </c>
      <c r="E27" s="77">
        <v>900</v>
      </c>
      <c r="F27" s="77"/>
      <c r="G27" s="77">
        <f>SUM(H27:J27)</f>
        <v>0</v>
      </c>
      <c r="H27" s="77"/>
      <c r="I27" s="77"/>
      <c r="J27" s="77"/>
    </row>
    <row r="28" spans="1:10" ht="31.5">
      <c r="A28" s="105">
        <v>16</v>
      </c>
      <c r="B28" s="106" t="s">
        <v>146</v>
      </c>
      <c r="C28" s="77">
        <f t="shared" si="1"/>
        <v>0</v>
      </c>
      <c r="D28" s="77"/>
      <c r="E28" s="77"/>
      <c r="F28" s="77"/>
      <c r="G28" s="77">
        <f>SUM(H28:J28)</f>
        <v>0</v>
      </c>
      <c r="H28" s="77"/>
      <c r="I28" s="77"/>
      <c r="J28" s="77"/>
    </row>
    <row r="29" spans="1:10" ht="15.75">
      <c r="A29" s="107"/>
      <c r="B29" s="108" t="s">
        <v>65</v>
      </c>
      <c r="C29" s="95">
        <f aca="true" t="shared" si="4" ref="C29:J29">C24+C11</f>
        <v>5970</v>
      </c>
      <c r="D29" s="388">
        <f t="shared" si="4"/>
        <v>2280</v>
      </c>
      <c r="E29" s="388">
        <f t="shared" si="4"/>
        <v>2690</v>
      </c>
      <c r="F29" s="388">
        <f t="shared" si="4"/>
        <v>1000</v>
      </c>
      <c r="G29" s="95">
        <f t="shared" si="4"/>
        <v>5</v>
      </c>
      <c r="H29" s="388">
        <f t="shared" si="4"/>
        <v>5</v>
      </c>
      <c r="I29" s="388">
        <f t="shared" si="4"/>
        <v>0</v>
      </c>
      <c r="J29" s="388">
        <f t="shared" si="4"/>
        <v>0</v>
      </c>
    </row>
  </sheetData>
  <sheetProtection/>
  <mergeCells count="12">
    <mergeCell ref="D8:F8"/>
    <mergeCell ref="A7:A9"/>
    <mergeCell ref="B7:B9"/>
    <mergeCell ref="C7:F7"/>
    <mergeCell ref="I1:J1"/>
    <mergeCell ref="G7:J7"/>
    <mergeCell ref="G8:G9"/>
    <mergeCell ref="H8:J8"/>
    <mergeCell ref="A3:J3"/>
    <mergeCell ref="A5:J5"/>
    <mergeCell ref="E1:F1"/>
    <mergeCell ref="C8:C9"/>
  </mergeCells>
  <printOptions/>
  <pageMargins left="0.3937007874015748" right="0.1968503937007874" top="0.7874015748031497" bottom="0.3937007874015748" header="0.5118110236220472" footer="0.5118110236220472"/>
  <pageSetup firstPageNumber="1" useFirstPageNumber="1" horizontalDpi="600" verticalDpi="600" orientation="landscape" paperSize="9" scale="90" r:id="rId1"/>
  <headerFooter alignWithMargins="0">
    <oddFooter>&amp;C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31"/>
  <sheetViews>
    <sheetView view="pageBreakPreview" zoomScale="80" zoomScaleSheetLayoutView="80" zoomScalePageLayoutView="0" workbookViewId="0" topLeftCell="A1">
      <selection activeCell="D12" sqref="D12"/>
    </sheetView>
  </sheetViews>
  <sheetFormatPr defaultColWidth="9.140625" defaultRowHeight="12.75"/>
  <cols>
    <col min="1" max="1" width="6.28125" style="409" customWidth="1"/>
    <col min="2" max="2" width="66.00390625" style="409" customWidth="1"/>
    <col min="3" max="3" width="15.28125" style="409" customWidth="1"/>
    <col min="4" max="4" width="18.00390625" style="409" customWidth="1"/>
    <col min="5" max="5" width="15.28125" style="409" customWidth="1"/>
    <col min="6" max="6" width="16.140625" style="409" customWidth="1"/>
    <col min="7" max="7" width="14.00390625" style="409" customWidth="1"/>
    <col min="8" max="8" width="13.28125" style="409" customWidth="1"/>
    <col min="9" max="16384" width="9.140625" style="409" customWidth="1"/>
  </cols>
  <sheetData>
    <row r="1" ht="15.75">
      <c r="E1" s="410" t="s">
        <v>297</v>
      </c>
    </row>
    <row r="3" spans="1:5" ht="76.5" customHeight="1">
      <c r="A3" s="682" t="s">
        <v>360</v>
      </c>
      <c r="B3" s="682"/>
      <c r="C3" s="682"/>
      <c r="D3" s="682"/>
      <c r="E3" s="682"/>
    </row>
    <row r="5" spans="1:5" ht="38.25" customHeight="1">
      <c r="A5" s="683" t="s">
        <v>76</v>
      </c>
      <c r="B5" s="685" t="s">
        <v>237</v>
      </c>
      <c r="C5" s="687" t="s">
        <v>467</v>
      </c>
      <c r="D5" s="689" t="s">
        <v>464</v>
      </c>
      <c r="E5" s="680" t="s">
        <v>468</v>
      </c>
    </row>
    <row r="6" spans="1:5" ht="54" customHeight="1">
      <c r="A6" s="684"/>
      <c r="B6" s="686"/>
      <c r="C6" s="688"/>
      <c r="D6" s="690"/>
      <c r="E6" s="681"/>
    </row>
    <row r="7" spans="1:8" ht="22.5" customHeight="1">
      <c r="A7" s="454">
        <v>1</v>
      </c>
      <c r="B7" s="455" t="s">
        <v>42</v>
      </c>
      <c r="C7" s="546">
        <v>4180326</v>
      </c>
      <c r="D7" s="457">
        <f>-1132.36-52.42-522.53</f>
        <v>-1707.31</v>
      </c>
      <c r="E7" s="467">
        <f aca="true" t="shared" si="0" ref="E7:E26">C7+D7</f>
        <v>4178618.69</v>
      </c>
      <c r="H7" s="463"/>
    </row>
    <row r="8" spans="1:8" ht="22.5" customHeight="1">
      <c r="A8" s="458" t="s">
        <v>271</v>
      </c>
      <c r="B8" s="459" t="s">
        <v>55</v>
      </c>
      <c r="C8" s="546">
        <v>905466.2</v>
      </c>
      <c r="D8" s="457">
        <f>52.42-28.47</f>
        <v>23.950000000000003</v>
      </c>
      <c r="E8" s="467">
        <f t="shared" si="0"/>
        <v>905490.1499999999</v>
      </c>
      <c r="H8" s="463"/>
    </row>
    <row r="9" spans="1:8" ht="22.5" customHeight="1">
      <c r="A9" s="458" t="s">
        <v>272</v>
      </c>
      <c r="B9" s="459" t="s">
        <v>336</v>
      </c>
      <c r="C9" s="546">
        <f>52359.71+2420.09</f>
        <v>54779.8</v>
      </c>
      <c r="D9" s="457"/>
      <c r="E9" s="467">
        <f t="shared" si="0"/>
        <v>54779.8</v>
      </c>
      <c r="H9" s="463"/>
    </row>
    <row r="10" spans="1:8" ht="22.5" customHeight="1">
      <c r="A10" s="458" t="s">
        <v>273</v>
      </c>
      <c r="B10" s="459" t="s">
        <v>41</v>
      </c>
      <c r="C10" s="546">
        <v>552016.22</v>
      </c>
      <c r="D10" s="457"/>
      <c r="E10" s="467">
        <f t="shared" si="0"/>
        <v>552016.22</v>
      </c>
      <c r="H10" s="463"/>
    </row>
    <row r="11" spans="1:8" ht="22.5" customHeight="1">
      <c r="A11" s="458" t="s">
        <v>274</v>
      </c>
      <c r="B11" s="459" t="s">
        <v>223</v>
      </c>
      <c r="C11" s="546">
        <v>893462.8</v>
      </c>
      <c r="D11" s="457">
        <f>1132.36+551</f>
        <v>1683.36</v>
      </c>
      <c r="E11" s="467">
        <f t="shared" si="0"/>
        <v>895146.16</v>
      </c>
      <c r="F11" s="463"/>
      <c r="H11" s="463"/>
    </row>
    <row r="12" spans="1:8" ht="22.5" customHeight="1">
      <c r="A12" s="458" t="s">
        <v>274</v>
      </c>
      <c r="B12" s="459" t="s">
        <v>238</v>
      </c>
      <c r="C12" s="546">
        <v>349497.94</v>
      </c>
      <c r="D12" s="457"/>
      <c r="E12" s="467">
        <f t="shared" si="0"/>
        <v>349497.94</v>
      </c>
      <c r="F12" s="463"/>
      <c r="G12" s="463"/>
      <c r="H12" s="463"/>
    </row>
    <row r="13" spans="1:8" ht="20.25" customHeight="1">
      <c r="A13" s="458" t="s">
        <v>275</v>
      </c>
      <c r="B13" s="455" t="s">
        <v>239</v>
      </c>
      <c r="C13" s="546">
        <v>4833.97</v>
      </c>
      <c r="D13" s="457"/>
      <c r="E13" s="467">
        <f t="shared" si="0"/>
        <v>4833.97</v>
      </c>
      <c r="H13" s="463"/>
    </row>
    <row r="14" spans="1:8" ht="20.25" customHeight="1">
      <c r="A14" s="458" t="s">
        <v>276</v>
      </c>
      <c r="B14" s="460" t="s">
        <v>240</v>
      </c>
      <c r="C14" s="546">
        <v>3955.07</v>
      </c>
      <c r="D14" s="457"/>
      <c r="E14" s="467">
        <f t="shared" si="0"/>
        <v>3955.07</v>
      </c>
      <c r="H14" s="463"/>
    </row>
    <row r="15" spans="1:8" ht="20.25" customHeight="1">
      <c r="A15" s="458" t="s">
        <v>277</v>
      </c>
      <c r="B15" s="459" t="s">
        <v>241</v>
      </c>
      <c r="C15" s="546">
        <v>38026.78</v>
      </c>
      <c r="D15" s="457"/>
      <c r="E15" s="467">
        <f t="shared" si="0"/>
        <v>38026.78</v>
      </c>
      <c r="H15" s="463"/>
    </row>
    <row r="16" spans="1:8" ht="20.25" customHeight="1">
      <c r="A16" s="458" t="s">
        <v>278</v>
      </c>
      <c r="B16" s="459" t="s">
        <v>242</v>
      </c>
      <c r="C16" s="546">
        <v>51999.07</v>
      </c>
      <c r="D16" s="457"/>
      <c r="E16" s="467">
        <f t="shared" si="0"/>
        <v>51999.07</v>
      </c>
      <c r="H16" s="463"/>
    </row>
    <row r="17" spans="1:8" ht="23.25" customHeight="1">
      <c r="A17" s="458" t="s">
        <v>279</v>
      </c>
      <c r="B17" s="459" t="s">
        <v>243</v>
      </c>
      <c r="C17" s="546">
        <f>27842+23235</f>
        <v>51077</v>
      </c>
      <c r="D17" s="457"/>
      <c r="E17" s="467">
        <f t="shared" si="0"/>
        <v>51077</v>
      </c>
      <c r="H17" s="463"/>
    </row>
    <row r="18" spans="1:8" ht="24" customHeight="1">
      <c r="A18" s="458" t="s">
        <v>280</v>
      </c>
      <c r="B18" s="460" t="s">
        <v>244</v>
      </c>
      <c r="C18" s="546">
        <v>8259.22</v>
      </c>
      <c r="D18" s="457"/>
      <c r="E18" s="467">
        <f t="shared" si="0"/>
        <v>8259.22</v>
      </c>
      <c r="H18" s="463"/>
    </row>
    <row r="19" spans="1:8" ht="20.25" customHeight="1">
      <c r="A19" s="458" t="s">
        <v>281</v>
      </c>
      <c r="B19" s="460" t="s">
        <v>245</v>
      </c>
      <c r="C19" s="546">
        <v>5666.29</v>
      </c>
      <c r="D19" s="457"/>
      <c r="E19" s="467">
        <f t="shared" si="0"/>
        <v>5666.29</v>
      </c>
      <c r="H19" s="463"/>
    </row>
    <row r="20" spans="1:8" ht="20.25" customHeight="1">
      <c r="A20" s="458" t="s">
        <v>282</v>
      </c>
      <c r="B20" s="459" t="s">
        <v>108</v>
      </c>
      <c r="C20" s="546">
        <v>2371.63</v>
      </c>
      <c r="D20" s="457"/>
      <c r="E20" s="467">
        <f t="shared" si="0"/>
        <v>2371.63</v>
      </c>
      <c r="H20" s="463"/>
    </row>
    <row r="21" spans="1:8" ht="20.25" customHeight="1">
      <c r="A21" s="458" t="s">
        <v>283</v>
      </c>
      <c r="B21" s="459" t="s">
        <v>246</v>
      </c>
      <c r="C21" s="546">
        <v>474.18</v>
      </c>
      <c r="D21" s="457"/>
      <c r="E21" s="467">
        <f t="shared" si="0"/>
        <v>474.18</v>
      </c>
      <c r="H21" s="463"/>
    </row>
    <row r="22" spans="1:8" ht="20.25" customHeight="1">
      <c r="A22" s="458" t="s">
        <v>284</v>
      </c>
      <c r="B22" s="459" t="s">
        <v>56</v>
      </c>
      <c r="C22" s="546">
        <v>1870.93</v>
      </c>
      <c r="D22" s="457"/>
      <c r="E22" s="467">
        <f t="shared" si="0"/>
        <v>1870.93</v>
      </c>
      <c r="H22" s="463"/>
    </row>
    <row r="23" spans="1:8" ht="23.25" customHeight="1">
      <c r="A23" s="458" t="s">
        <v>285</v>
      </c>
      <c r="B23" s="460" t="s">
        <v>465</v>
      </c>
      <c r="C23" s="546">
        <f>3.55+ROUND(25.0485*0.65*1.359*3.5*6,2)</f>
        <v>468.21000000000004</v>
      </c>
      <c r="D23" s="457"/>
      <c r="E23" s="467">
        <f t="shared" si="0"/>
        <v>468.21000000000004</v>
      </c>
      <c r="H23" s="463"/>
    </row>
    <row r="24" spans="1:8" ht="26.25" customHeight="1">
      <c r="A24" s="458" t="s">
        <v>286</v>
      </c>
      <c r="B24" s="459" t="s">
        <v>335</v>
      </c>
      <c r="C24" s="546">
        <f>ROUND(99709.07*12*1.08/1000,2)</f>
        <v>1292.23</v>
      </c>
      <c r="D24" s="457"/>
      <c r="E24" s="467">
        <f t="shared" si="0"/>
        <v>1292.23</v>
      </c>
      <c r="H24" s="463"/>
    </row>
    <row r="25" spans="1:8" ht="20.25" customHeight="1">
      <c r="A25" s="458" t="s">
        <v>287</v>
      </c>
      <c r="B25" s="459" t="s">
        <v>289</v>
      </c>
      <c r="C25" s="546">
        <v>14077.53</v>
      </c>
      <c r="D25" s="457"/>
      <c r="E25" s="467">
        <f t="shared" si="0"/>
        <v>14077.53</v>
      </c>
      <c r="H25" s="463"/>
    </row>
    <row r="26" spans="1:8" ht="31.5" customHeight="1">
      <c r="A26" s="458" t="s">
        <v>288</v>
      </c>
      <c r="B26" s="459" t="s">
        <v>474</v>
      </c>
      <c r="C26" s="546">
        <v>997.83</v>
      </c>
      <c r="D26" s="457"/>
      <c r="E26" s="467">
        <f t="shared" si="0"/>
        <v>997.83</v>
      </c>
      <c r="F26" s="463"/>
      <c r="H26" s="463"/>
    </row>
    <row r="27" spans="1:8" ht="20.25" customHeight="1">
      <c r="A27" s="458" t="s">
        <v>290</v>
      </c>
      <c r="B27" s="459" t="s">
        <v>476</v>
      </c>
      <c r="C27" s="546">
        <v>261.8</v>
      </c>
      <c r="D27" s="457"/>
      <c r="E27" s="467"/>
      <c r="F27" s="463"/>
      <c r="H27" s="463"/>
    </row>
    <row r="28" spans="1:7" s="470" customFormat="1" ht="21.75" customHeight="1">
      <c r="A28" s="468"/>
      <c r="B28" s="469" t="s">
        <v>354</v>
      </c>
      <c r="C28" s="461">
        <f>SUM(C7:C27)</f>
        <v>7121180.7</v>
      </c>
      <c r="D28" s="457">
        <f>SUM(D7:D27)</f>
        <v>0</v>
      </c>
      <c r="E28" s="461">
        <f>SUM(E7:E27)</f>
        <v>7120918.9</v>
      </c>
      <c r="F28" s="473">
        <v>7120918.899999999</v>
      </c>
      <c r="G28" s="475">
        <f>F28-E28</f>
        <v>0</v>
      </c>
    </row>
    <row r="29" spans="1:7" ht="37.5" customHeight="1">
      <c r="A29" s="458" t="s">
        <v>466</v>
      </c>
      <c r="B29" s="459" t="s">
        <v>356</v>
      </c>
      <c r="C29" s="456">
        <v>235329.9</v>
      </c>
      <c r="D29" s="457"/>
      <c r="E29" s="456">
        <f>C29+D29</f>
        <v>235329.9</v>
      </c>
      <c r="F29" s="474">
        <v>235329.9</v>
      </c>
      <c r="G29" s="463">
        <f>F29-C29</f>
        <v>0</v>
      </c>
    </row>
    <row r="30" spans="1:7" ht="26.25" customHeight="1">
      <c r="A30" s="461"/>
      <c r="B30" s="462" t="s">
        <v>355</v>
      </c>
      <c r="C30" s="461">
        <f>C29+C28</f>
        <v>7356510.600000001</v>
      </c>
      <c r="D30" s="457">
        <f>D29+D28</f>
        <v>0</v>
      </c>
      <c r="E30" s="461">
        <f>E29+E28</f>
        <v>7356248.800000001</v>
      </c>
      <c r="F30" s="473">
        <v>7356248.8</v>
      </c>
      <c r="G30" s="463">
        <f>F30-E30</f>
        <v>0</v>
      </c>
    </row>
    <row r="31" ht="24" customHeight="1">
      <c r="D31" s="409" t="s">
        <v>357</v>
      </c>
    </row>
  </sheetData>
  <sheetProtection/>
  <mergeCells count="6">
    <mergeCell ref="E5:E6"/>
    <mergeCell ref="A3:E3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Донская Яна Юрьевна</cp:lastModifiedBy>
  <cp:lastPrinted>2023-02-14T03:19:15Z</cp:lastPrinted>
  <dcterms:created xsi:type="dcterms:W3CDTF">1996-10-08T23:32:33Z</dcterms:created>
  <dcterms:modified xsi:type="dcterms:W3CDTF">2023-09-28T05:56:02Z</dcterms:modified>
  <cp:category/>
  <cp:version/>
  <cp:contentType/>
  <cp:contentStatus/>
</cp:coreProperties>
</file>