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98" activeTab="8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 " sheetId="9" r:id="rId9"/>
    <sheet name="10. объём доп. фед. средств" sheetId="10" state="hidden" r:id="rId10"/>
  </sheets>
  <definedNames>
    <definedName name="_xlnm._FilterDatabase" localSheetId="5" hidden="1">'3. ДС'!$A$8:$Q$148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АМП'!$A$1:$E$398</definedName>
    <definedName name="_xlnm.Print_Area" localSheetId="1">'1.1. ПРОФ.МЕРОПРИЯТИЯ'!$A$1:$I$22</definedName>
    <definedName name="_xlnm.Print_Area" localSheetId="3">'1.3. ИССЛЕДОВАНИЯ'!$A$1:$M$72</definedName>
    <definedName name="_xlnm.Print_Area" localSheetId="4">'2. КС'!$A$1:$D$190</definedName>
    <definedName name="_xlnm.Print_Area" localSheetId="5">'3. ДС'!$A$1:$F$140</definedName>
    <definedName name="_xlnm.Print_Area" localSheetId="6">'4. СМП'!$A$1:$C$13</definedName>
    <definedName name="_xlnm.Print_Area" localSheetId="7">'5. УСЛУГИ ДИАЛИЗА'!$A$1:$F$29</definedName>
    <definedName name="_xlnm.Print_Area" localSheetId="8">'6. Объем фин.обеспечения '!$A$1:$E$30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5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<sst xmlns="http://schemas.openxmlformats.org/spreadsheetml/2006/main" count="737" uniqueCount="482">
  <si>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</si>
  <si>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</si>
  <si>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</si>
  <si>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</si>
  <si>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</si>
  <si>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</si>
  <si>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</si>
  <si>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</si>
  <si>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</si>
  <si>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</si>
  <si>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</si>
  <si>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</si>
  <si>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</si>
  <si>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</si>
  <si>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</si>
  <si>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</si>
  <si>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</si>
  <si>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</si>
  <si>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</si>
  <si>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</si>
  <si>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</si>
  <si>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</si>
  <si>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</si>
  <si>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</si>
  <si>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</si>
  <si>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</si>
  <si>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</si>
  <si>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</si>
  <si>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</si>
  <si>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</si>
  <si>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</si>
  <si>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</si>
  <si>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</si>
  <si>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</si>
  <si>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</si>
  <si>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</si>
  <si>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</si>
  <si>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</si>
  <si>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</si>
  <si>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</si>
  <si>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</si>
  <si>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ОГБУЗ "Магаданский родильный дом"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</si>
  <si>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</si>
  <si>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</si>
  <si>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</si>
  <si>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</si>
  <si>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</si>
  <si>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</si>
  <si>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</si>
  <si>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</si>
  <si>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</si>
  <si>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</si>
  <si>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</si>
  <si>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</si>
  <si>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</si>
  <si>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</si>
  <si>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</si>
  <si>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</si>
  <si>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</si>
  <si>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</si>
  <si>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</si>
  <si>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</si>
  <si>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</si>
  <si>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Кабинет неотложной помощи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</si>
  <si>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</si>
  <si>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</si>
  <si>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</si>
  <si>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</si>
  <si>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</si>
  <si>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</si>
  <si>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</si>
  <si>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</si>
  <si>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</si>
  <si>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</si>
  <si>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</si>
  <si>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</si>
  <si>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</si>
  <si>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</si>
  <si>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</si>
  <si>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</si>
  <si>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</si>
  <si>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</si>
  <si>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</si>
  <si>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</si>
  <si>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</si>
  <si>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</si>
  <si>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</si>
  <si>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</si>
  <si>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</si>
  <si>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</si>
  <si>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</si>
  <si>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</si>
  <si>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</si>
  <si>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</si>
  <si>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</si>
  <si>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</si>
  <si>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</si>
  <si>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</si>
  <si>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</si>
  <si>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</si>
  <si>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</si>
  <si>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</si>
  <si>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</si>
  <si>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</si>
  <si>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</si>
  <si>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</si>
  <si>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</si>
  <si>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</si>
  <si>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</si>
  <si>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</si>
  <si>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</si>
  <si>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Сосудистая  хирургия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</si>
  <si>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</si>
  <si>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</si>
  <si>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</si>
  <si>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</si>
  <si>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</si>
  <si>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</si>
  <si>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</si>
  <si>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</si>
  <si>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</si>
  <si>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</si>
  <si>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</si>
  <si>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</si>
  <si>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</si>
  <si>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</si>
  <si>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</si>
  <si>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</si>
  <si>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</si>
  <si>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</si>
  <si>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</si>
  <si>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</si>
  <si>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</si>
  <si>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</si>
  <si>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</si>
  <si>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</si>
  <si>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</si>
  <si>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</si>
  <si>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</si>
  <si>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</si>
  <si>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</si>
  <si>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</si>
  <si>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</si>
  <si>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</si>
  <si>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</si>
  <si>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</si>
  <si>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</si>
  <si>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</si>
  <si>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</si>
  <si>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</si>
  <si>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</si>
  <si>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</si>
  <si>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</si>
  <si>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</si>
  <si>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</si>
  <si>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</si>
  <si>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</si>
  <si>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</si>
  <si>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</si>
  <si>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</si>
  <si>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</si>
  <si>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</si>
  <si>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</si>
  <si>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</si>
  <si>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</si>
  <si>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</si>
  <si>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</si>
  <si>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</si>
  <si>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</si>
  <si>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</si>
  <si>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</si>
  <si>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</si>
  <si>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</si>
  <si>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</si>
  <si>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</si>
  <si>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</si>
  <si>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</si>
  <si>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</si>
  <si>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</si>
  <si>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</si>
  <si>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</si>
  <si>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</si>
  <si>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</si>
  <si>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</si>
  <si>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</si>
  <si>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</si>
  <si>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</si>
  <si>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</si>
  <si>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</si>
  <si>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</si>
  <si>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</si>
  <si>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</si>
  <si>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</si>
  <si>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</si>
  <si>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</si>
  <si>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</si>
  <si>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</si>
  <si>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</si>
  <si>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</si>
  <si>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</si>
  <si>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</si>
  <si>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</si>
  <si>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</si>
  <si>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</si>
  <si>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</si>
  <si>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</si>
  <si>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</si>
  <si>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</si>
  <si>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Средний медицинский персонал, ведущий самостоятельный приём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</si>
  <si>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</si>
  <si>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</si>
  <si>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</si>
  <si>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</si>
  <si>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</si>
  <si>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</si>
  <si>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</si>
  <si>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</si>
  <si>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</si>
  <si>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</si>
  <si>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</si>
  <si>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</si>
  <si>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</si>
  <si>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</si>
  <si>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</si>
  <si>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</si>
  <si>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Средний медицинский персонал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</si>
  <si>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</si>
  <si>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</si>
  <si>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</si>
  <si>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</si>
  <si>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</si>
  <si>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</si>
  <si>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</si>
  <si>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</si>
  <si>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</si>
  <si>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</si>
  <si>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18.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</si>
  <si>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</si>
  <si>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</si>
  <si>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</si>
  <si>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</si>
  <si>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</si>
  <si>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</si>
  <si>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</si>
  <si>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</si>
  <si>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"ЮНИЛАБ - Хабаровск"</t>
  </si>
  <si>
    <t>Челюстно-лицевая хирургия</t>
  </si>
  <si>
    <t xml:space="preserve">Медицинская реабилитация </t>
  </si>
  <si>
    <t>2. ГБУЗ "Магаданская областная детская больница"</t>
  </si>
  <si>
    <t>3. ОГБУЗ "Магаданский родильный дом"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</si>
  <si>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</si>
  <si>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</si>
  <si>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</si>
  <si>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</si>
  <si>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</si>
  <si>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</si>
  <si>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</si>
  <si>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</si>
  <si>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</si>
  <si>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</si>
  <si>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</si>
  <si>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</si>
  <si>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</si>
  <si>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</si>
  <si>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</si>
  <si>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</si>
  <si>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</si>
  <si>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</si>
  <si>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</si>
  <si>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</si>
  <si>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</si>
  <si>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</si>
  <si>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</si>
  <si>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</si>
  <si>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</si>
  <si>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</si>
  <si>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</si>
  <si>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</si>
  <si>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</si>
  <si>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</si>
  <si>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</si>
  <si>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</si>
  <si>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</si>
  <si>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</si>
  <si>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</si>
  <si>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</si>
  <si>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</si>
  <si>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</si>
  <si>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</si>
  <si>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</si>
  <si>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</si>
  <si>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Онкологический диспансер</t>
  </si>
  <si>
    <t>Итого:</t>
  </si>
  <si>
    <t>в т.ч. онкогематология</t>
  </si>
  <si>
    <t>Медицинская реабилитация (дети)</t>
  </si>
  <si>
    <t xml:space="preserve">               5. ООО "МИР" г.Магадан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</si>
  <si>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</si>
  <si>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</si>
  <si>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</si>
  <si>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</si>
  <si>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</si>
  <si>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</si>
  <si>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</si>
  <si>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</si>
  <si>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</si>
  <si>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</si>
  <si>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</si>
  <si>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</si>
  <si>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</si>
  <si>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</si>
  <si>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</si>
  <si>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</si>
  <si>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</si>
  <si>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</si>
  <si>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</si>
  <si>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</si>
  <si>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</si>
  <si>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</si>
  <si>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</si>
  <si>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</si>
  <si>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</si>
  <si>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</si>
  <si>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</si>
  <si>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</si>
  <si>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</si>
  <si>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</si>
  <si>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</si>
  <si>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</si>
  <si>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</si>
  <si>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</si>
  <si>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</si>
  <si>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</si>
  <si>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</si>
  <si>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</si>
  <si>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</si>
  <si>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ГБУЗ "МОДФ и ИЗ"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</si>
  <si>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</si>
  <si>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</si>
  <si>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</si>
  <si>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</si>
  <si>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</si>
  <si>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</si>
  <si>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</si>
  <si>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</si>
  <si>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</si>
  <si>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</si>
  <si>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</si>
  <si>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</si>
  <si>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</si>
  <si>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</si>
  <si>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</si>
  <si>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</si>
  <si>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</si>
  <si>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</si>
  <si>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</si>
  <si>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</si>
  <si>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</si>
  <si>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</si>
  <si>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</si>
  <si>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>Детская урология-адрология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</si>
  <si>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</si>
  <si>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</si>
  <si>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</si>
  <si>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</si>
  <si>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</si>
  <si>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</si>
  <si>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</si>
  <si>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</si>
  <si>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</si>
  <si>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</si>
  <si>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</si>
  <si>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</si>
  <si>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</si>
  <si>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</si>
  <si>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 xml:space="preserve"> - диспансерное наблюдение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</si>
  <si>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</si>
  <si>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</si>
  <si>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</si>
  <si>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</si>
  <si>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</si>
  <si>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</si>
  <si>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</si>
  <si>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</si>
  <si>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</si>
  <si>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2) диспансерное наблюдение (комплексные посещения)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</si>
  <si>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</si>
  <si>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</si>
  <si>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</si>
  <si>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</si>
  <si>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</si>
  <si>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</si>
  <si>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</si>
  <si>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</si>
  <si>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</si>
  <si>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</si>
  <si>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 xml:space="preserve">ОГБУЗ "Магаданский родильный дом " 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</si>
  <si>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</si>
  <si>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</si>
  <si>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</si>
  <si>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</si>
  <si>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</si>
  <si>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</si>
  <si>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</si>
  <si>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</si>
  <si>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</si>
  <si>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</si>
  <si>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</si>
  <si>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Акушерство и гинекология, всего, из них:</t>
  </si>
  <si>
    <t>Дерматология, всего, из них:</t>
  </si>
  <si>
    <t>Инфекционные болезни, всего, из них:</t>
  </si>
  <si>
    <t>Кардиология, всего, из них:</t>
  </si>
  <si>
    <t>Неврология, всего, из них:</t>
  </si>
  <si>
    <t>Онкология, всего, из них:</t>
  </si>
  <si>
    <t>Отоларингология, всего, из них:</t>
  </si>
  <si>
    <t>Офтальмология, всего, из них:</t>
  </si>
  <si>
    <t>Травматология и ортопедия, всего, из них:</t>
  </si>
  <si>
    <t>Урология, всего, из них:</t>
  </si>
  <si>
    <t xml:space="preserve">Хирургия, всего, из них:  </t>
  </si>
  <si>
    <t>1) профилактические мероприятия (комплексные посещения), всего, в том числе:</t>
  </si>
  <si>
    <t>2) диспансерное наблюдение</t>
  </si>
  <si>
    <t>Инфекционные заболевания, всего, из них:</t>
  </si>
  <si>
    <t>Травматология-ортопедия, всего, из них:</t>
  </si>
  <si>
    <t>Хирургия, всего, из них:</t>
  </si>
  <si>
    <t>Эндокринология, всего, из них:</t>
  </si>
  <si>
    <t>2. ГБУЗ "МАГАДАНСКАЯ ОБЛАСТНАЯ ДЕТСКАЯ  БОЛЬНИЦА"</t>
  </si>
  <si>
    <t>3. ОГБУЗ "МАГАДАНСКИЙ РОДИЛЬНЫЙ ДОМ" (ЖЕНСКАЯ КОНСУЛЬТАЦИЯ)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</si>
  <si>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</si>
  <si>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</si>
  <si>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</si>
  <si>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</si>
  <si>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</si>
  <si>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</si>
  <si>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</si>
  <si>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</si>
  <si>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</si>
  <si>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</si>
  <si>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</si>
  <si>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ВСЕГО ГБУЗ "МОБ", в т.ч.:</t>
  </si>
  <si>
    <t>ИТОГО ГБУЗ "МОДБ", в т.ч.:</t>
  </si>
  <si>
    <t>ИТОГО ОГБУЗ "Магаданский родильный дом", в т.ч.:</t>
  </si>
  <si>
    <t>ИТОГО МОГБУЗ "Городская поликлиника", в т.ч.:</t>
  </si>
  <si>
    <t xml:space="preserve"> - диспансерное наблюдение (комплексные посещения)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</si>
  <si>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</si>
  <si>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</si>
  <si>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</si>
  <si>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</si>
  <si>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</si>
  <si>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</si>
  <si>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</si>
  <si>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</si>
  <si>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</si>
  <si>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</si>
  <si>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</si>
  <si>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</si>
  <si>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</si>
  <si>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</si>
  <si>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</si>
  <si>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</si>
  <si>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</si>
  <si>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</si>
  <si>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</si>
  <si>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</si>
  <si>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</si>
  <si>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</si>
  <si>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</si>
  <si>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</si>
  <si>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</si>
  <si>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</si>
  <si>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</si>
  <si>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</si>
  <si>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</si>
  <si>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</si>
  <si>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</si>
  <si>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</si>
  <si>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</si>
  <si>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</si>
  <si>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</si>
  <si>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</si>
  <si>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 xml:space="preserve">Объем финансового обеспечения на 2023 год </t>
  </si>
  <si>
    <t>ТПОМС от 20.01.2023 года № 01-02</t>
  </si>
  <si>
    <t>ООО "Мой доктор"</t>
  </si>
  <si>
    <t xml:space="preserve">РАСПРЕДЕЛЕНИЕ  ОБЪЁМОВ МЕДИЦИНСКОЙ ПОМОЩИ И ОБЪЕМОВ ФИНАНСОВОГО ОБЕСПЕЧЕНИЯ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</si>
</sst>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</numFmts>
  <fonts count="16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sz val="12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sz val="12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3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47" fillId="11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47" fillId="11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5" borderId="0" applyNumberFormat="0" applyBorder="0" applyAlignment="0" applyProtection="0"/>
    <xf numFmtId="0" fontId="111" fillId="5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5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47" fillId="9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47" fillId="9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6" borderId="0" applyNumberFormat="0" applyBorder="0" applyAlignment="0" applyProtection="0"/>
    <xf numFmtId="0" fontId="111" fillId="6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6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47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47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7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47" fillId="11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47" fillId="11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47" fillId="8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47" fillId="8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47" fillId="9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47" fillId="9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47" fillId="22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47" fillId="22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47" fillId="20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47" fillId="20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1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47" fillId="27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47" fillId="27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47" fillId="22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47" fillId="22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47" fillId="1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47" fillId="1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47" fillId="9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47" fillId="9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12" fillId="35" borderId="0" applyNumberFormat="0" applyBorder="0" applyAlignment="0" applyProtection="0"/>
    <xf numFmtId="0" fontId="112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2" fillId="36" borderId="0" applyNumberFormat="0" applyBorder="0" applyAlignment="0" applyProtection="0"/>
    <xf numFmtId="0" fontId="112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12" fillId="37" borderId="0" applyNumberFormat="0" applyBorder="0" applyAlignment="0" applyProtection="0"/>
    <xf numFmtId="0" fontId="112" fillId="37" borderId="0" applyNumberFormat="0" applyBorder="0" applyAlignment="0" applyProtection="0"/>
    <xf numFmtId="0" fontId="112" fillId="37" borderId="0" applyNumberFormat="0" applyBorder="0" applyAlignment="0" applyProtection="0"/>
    <xf numFmtId="0" fontId="112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12" fillId="38" borderId="0" applyNumberFormat="0" applyBorder="0" applyAlignment="0" applyProtection="0"/>
    <xf numFmtId="0" fontId="112" fillId="38" borderId="0" applyNumberFormat="0" applyBorder="0" applyAlignment="0" applyProtection="0"/>
    <xf numFmtId="0" fontId="112" fillId="38" borderId="0" applyNumberFormat="0" applyBorder="0" applyAlignment="0" applyProtection="0"/>
    <xf numFmtId="0" fontId="112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12" fillId="39" borderId="0" applyNumberFormat="0" applyBorder="0" applyAlignment="0" applyProtection="0"/>
    <xf numFmtId="0" fontId="112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2" fillId="40" borderId="0" applyNumberFormat="0" applyBorder="0" applyAlignment="0" applyProtection="0"/>
    <xf numFmtId="0" fontId="112" fillId="40" borderId="0" applyNumberFormat="0" applyBorder="0" applyAlignment="0" applyProtection="0"/>
    <xf numFmtId="0" fontId="112" fillId="40" borderId="0" applyNumberFormat="0" applyBorder="0" applyAlignment="0" applyProtection="0"/>
    <xf numFmtId="0" fontId="112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12" fillId="46" borderId="0" applyNumberFormat="0" applyBorder="0" applyAlignment="0" applyProtection="0"/>
    <xf numFmtId="0" fontId="112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2" fillId="47" borderId="0" applyNumberFormat="0" applyBorder="0" applyAlignment="0" applyProtection="0"/>
    <xf numFmtId="0" fontId="112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12" fillId="48" borderId="0" applyNumberFormat="0" applyBorder="0" applyAlignment="0" applyProtection="0"/>
    <xf numFmtId="0" fontId="112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12" fillId="49" borderId="0" applyNumberFormat="0" applyBorder="0" applyAlignment="0" applyProtection="0"/>
    <xf numFmtId="0" fontId="112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12" fillId="50" borderId="0" applyNumberFormat="0" applyBorder="0" applyAlignment="0" applyProtection="0"/>
    <xf numFmtId="0" fontId="112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2" fillId="51" borderId="0" applyNumberFormat="0" applyBorder="0" applyAlignment="0" applyProtection="0"/>
    <xf numFmtId="0" fontId="112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13" fillId="52" borderId="16" applyNumberFormat="0" applyAlignment="0" applyProtection="0"/>
    <xf numFmtId="0" fontId="113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14" fillId="53" borderId="17" applyNumberFormat="0" applyAlignment="0" applyProtection="0"/>
    <xf numFmtId="0" fontId="114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15" fillId="53" borderId="16" applyNumberFormat="0" applyAlignment="0" applyProtection="0"/>
    <xf numFmtId="0" fontId="115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17" fillId="0" borderId="18" applyNumberFormat="0" applyFill="0" applyAlignment="0" applyProtection="0"/>
    <xf numFmtId="0" fontId="117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19" fillId="0" borderId="21" applyNumberFormat="0" applyFill="0" applyAlignment="0" applyProtection="0"/>
    <xf numFmtId="0" fontId="119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0" fillId="0" borderId="23" applyNumberFormat="0" applyFill="0" applyAlignment="0" applyProtection="0"/>
    <xf numFmtId="0" fontId="120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21" fillId="54" borderId="25" applyNumberFormat="0" applyAlignment="0" applyProtection="0"/>
    <xf numFmtId="0" fontId="121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3" fillId="55" borderId="0" applyNumberFormat="0" applyBorder="0" applyAlignment="0" applyProtection="0"/>
    <xf numFmtId="0" fontId="123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3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3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24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46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25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5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46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26" fillId="0" borderId="0" applyNumberFormat="0" applyFill="0" applyBorder="0" applyAlignment="0" applyProtection="0"/>
    <xf numFmtId="0" fontId="127" fillId="56" borderId="0" applyNumberFormat="0" applyBorder="0" applyAlignment="0" applyProtection="0"/>
    <xf numFmtId="0" fontId="127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29" fillId="0" borderId="27" applyNumberFormat="0" applyFill="0" applyAlignment="0" applyProtection="0"/>
    <xf numFmtId="0" fontId="129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31" fillId="58" borderId="0" applyNumberFormat="0" applyBorder="0" applyAlignment="0" applyProtection="0"/>
    <xf numFmtId="0" fontId="131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670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55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vertical="center" wrapText="1"/>
    </xf>
    <xf numFmtId="0" fontId="2" fillId="11" borderId="57" xfId="0" applyFont="1" applyFill="1" applyBorder="1" applyAlignment="1">
      <alignment vertical="center" wrapText="1"/>
    </xf>
    <xf numFmtId="0" fontId="3" fillId="11" borderId="58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1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vertical="center" wrapText="1"/>
    </xf>
    <xf numFmtId="3" fontId="4" fillId="17" borderId="63" xfId="0" applyNumberFormat="1" applyFont="1" applyFill="1" applyBorder="1" applyAlignment="1">
      <alignment vertical="center" wrapText="1"/>
    </xf>
    <xf numFmtId="0" fontId="2" fillId="11" borderId="64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32" fillId="0" borderId="31" xfId="1507" applyFont="1" applyBorder="1" applyAlignment="1">
      <alignment horizontal="center" vertical="center" wrapText="1"/>
      <protection/>
    </xf>
    <xf numFmtId="0" fontId="132" fillId="0" borderId="29" xfId="1507" applyFont="1" applyBorder="1" applyAlignment="1">
      <alignment vertical="center" wrapText="1"/>
      <protection/>
    </xf>
    <xf numFmtId="0" fontId="132" fillId="17" borderId="31" xfId="1507" applyFont="1" applyFill="1" applyBorder="1" applyAlignment="1">
      <alignment horizontal="center" vertical="center" wrapText="1"/>
      <protection/>
    </xf>
    <xf numFmtId="0" fontId="132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32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33" fillId="11" borderId="61" xfId="0" applyFont="1" applyFill="1" applyBorder="1" applyAlignment="1">
      <alignment vertical="center" wrapText="1"/>
    </xf>
    <xf numFmtId="0" fontId="3" fillId="17" borderId="67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8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9" xfId="0" applyFont="1" applyFill="1" applyBorder="1" applyAlignment="1">
      <alignment horizontal="center" vertical="center" wrapText="1"/>
    </xf>
    <xf numFmtId="0" fontId="2" fillId="11" borderId="70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2" xfId="0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2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33" fillId="11" borderId="45" xfId="0" applyFont="1" applyFill="1" applyBorder="1" applyAlignment="1">
      <alignment horizontal="center" vertical="center" wrapText="1"/>
    </xf>
    <xf numFmtId="0" fontId="133" fillId="11" borderId="45" xfId="0" applyFont="1" applyFill="1" applyBorder="1" applyAlignment="1">
      <alignment vertical="center" wrapText="1"/>
    </xf>
    <xf numFmtId="3" fontId="133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9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3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1" fontId="3" fillId="11" borderId="62" xfId="0" applyNumberFormat="1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4" xfId="0" applyNumberFormat="1" applyFont="1" applyFill="1" applyBorder="1" applyAlignment="1">
      <alignment horizontal="center" vertical="center" wrapText="1"/>
    </xf>
    <xf numFmtId="0" fontId="3" fillId="11" borderId="74" xfId="0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4" xfId="0" applyNumberFormat="1" applyFont="1" applyFill="1" applyBorder="1" applyAlignment="1">
      <alignment horizontal="center" vertical="center" wrapText="1"/>
    </xf>
    <xf numFmtId="3" fontId="3" fillId="11" borderId="64" xfId="0" applyNumberFormat="1" applyFont="1" applyFill="1" applyBorder="1" applyAlignment="1">
      <alignment horizontal="center" vertical="center" wrapText="1"/>
    </xf>
    <xf numFmtId="1" fontId="2" fillId="11" borderId="75" xfId="0" applyNumberFormat="1" applyFont="1" applyFill="1" applyBorder="1" applyAlignment="1">
      <alignment horizontal="center" vertical="center" wrapText="1"/>
    </xf>
    <xf numFmtId="3" fontId="3" fillId="11" borderId="75" xfId="0" applyNumberFormat="1" applyFont="1" applyFill="1" applyBorder="1" applyAlignment="1">
      <alignment horizontal="center" vertical="center" wrapText="1"/>
    </xf>
    <xf numFmtId="0" fontId="2" fillId="11" borderId="66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5" xfId="0" applyNumberFormat="1" applyFont="1" applyFill="1" applyBorder="1" applyAlignment="1">
      <alignment horizontal="center" vertical="center" wrapText="1"/>
    </xf>
    <xf numFmtId="1" fontId="3" fillId="17" borderId="73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6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33" fillId="11" borderId="32" xfId="0" applyNumberFormat="1" applyFont="1" applyFill="1" applyBorder="1" applyAlignment="1">
      <alignment horizontal="center" vertical="center" wrapText="1"/>
    </xf>
    <xf numFmtId="1" fontId="133" fillId="11" borderId="63" xfId="0" applyNumberFormat="1" applyFont="1" applyFill="1" applyBorder="1" applyAlignment="1">
      <alignment horizontal="center" vertical="center" wrapText="1"/>
    </xf>
    <xf numFmtId="3" fontId="13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11" fillId="11" borderId="63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3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3" fillId="59" borderId="77" xfId="0" applyFont="1" applyFill="1" applyBorder="1" applyAlignment="1">
      <alignment horizontal="center" vertical="center" wrapText="1"/>
    </xf>
    <xf numFmtId="0" fontId="133" fillId="59" borderId="45" xfId="0" applyFont="1" applyFill="1" applyBorder="1" applyAlignment="1">
      <alignment vertical="center" wrapText="1"/>
    </xf>
    <xf numFmtId="1" fontId="133" fillId="59" borderId="32" xfId="0" applyNumberFormat="1" applyFont="1" applyFill="1" applyBorder="1" applyAlignment="1">
      <alignment horizontal="center" vertical="center" wrapText="1"/>
    </xf>
    <xf numFmtId="1" fontId="133" fillId="59" borderId="63" xfId="0" applyNumberFormat="1" applyFont="1" applyFill="1" applyBorder="1" applyAlignment="1">
      <alignment horizontal="center" vertical="center" wrapText="1"/>
    </xf>
    <xf numFmtId="3" fontId="133" fillId="59" borderId="63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3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3" fontId="7" fillId="59" borderId="64" xfId="0" applyNumberFormat="1" applyFont="1" applyFill="1" applyBorder="1" applyAlignment="1">
      <alignment vertical="center" wrapText="1"/>
    </xf>
    <xf numFmtId="3" fontId="5" fillId="59" borderId="70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11" borderId="78" xfId="0" applyFont="1" applyFill="1" applyBorder="1" applyAlignment="1">
      <alignment vertical="center" wrapText="1"/>
    </xf>
    <xf numFmtId="0" fontId="5" fillId="11" borderId="79" xfId="0" applyFont="1" applyFill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4" fillId="0" borderId="80" xfId="0" applyFont="1" applyBorder="1" applyAlignment="1">
      <alignment vertical="center" wrapText="1"/>
    </xf>
    <xf numFmtId="1" fontId="4" fillId="0" borderId="81" xfId="0" applyNumberFormat="1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0" borderId="78" xfId="0" applyFont="1" applyBorder="1" applyAlignment="1" applyProtection="1">
      <alignment/>
      <protection locked="0"/>
    </xf>
    <xf numFmtId="3" fontId="4" fillId="0" borderId="63" xfId="0" applyNumberFormat="1" applyFont="1" applyFill="1" applyBorder="1" applyAlignment="1">
      <alignment vertical="center" wrapText="1"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5" fillId="0" borderId="79" xfId="0" applyFont="1" applyBorder="1" applyAlignment="1" applyProtection="1">
      <alignment/>
      <protection locked="0"/>
    </xf>
    <xf numFmtId="0" fontId="5" fillId="0" borderId="79" xfId="0" applyFont="1" applyBorder="1" applyAlignment="1" applyProtection="1">
      <alignment wrapText="1"/>
      <protection locked="0"/>
    </xf>
    <xf numFmtId="0" fontId="5" fillId="0" borderId="79" xfId="0" applyFont="1" applyBorder="1" applyAlignment="1" applyProtection="1">
      <alignment vertical="center" wrapText="1"/>
      <protection locked="0"/>
    </xf>
    <xf numFmtId="0" fontId="5" fillId="0" borderId="79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59" borderId="79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8" xfId="0" applyFont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0" fontId="4" fillId="17" borderId="80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34" fillId="0" borderId="78" xfId="0" applyFont="1" applyBorder="1" applyAlignment="1" applyProtection="1">
      <alignment vertical="center" wrapText="1"/>
      <protection locked="0"/>
    </xf>
    <xf numFmtId="3" fontId="135" fillId="0" borderId="63" xfId="0" applyNumberFormat="1" applyFont="1" applyFill="1" applyBorder="1" applyAlignment="1">
      <alignment vertical="center" wrapText="1"/>
    </xf>
    <xf numFmtId="0" fontId="134" fillId="0" borderId="0" xfId="0" applyFont="1" applyAlignment="1">
      <alignment/>
    </xf>
    <xf numFmtId="3" fontId="134" fillId="0" borderId="0" xfId="0" applyNumberFormat="1" applyFont="1" applyAlignment="1">
      <alignment/>
    </xf>
    <xf numFmtId="2" fontId="134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/>
    </xf>
    <xf numFmtId="0" fontId="2" fillId="0" borderId="63" xfId="0" applyFont="1" applyBorder="1" applyAlignment="1">
      <alignment vertical="center" wrapText="1"/>
    </xf>
    <xf numFmtId="3" fontId="135" fillId="0" borderId="29" xfId="0" applyNumberFormat="1" applyFont="1" applyFill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3" fontId="4" fillId="0" borderId="86" xfId="0" applyNumberFormat="1" applyFont="1" applyBorder="1" applyAlignment="1">
      <alignment vertical="center" wrapText="1"/>
    </xf>
    <xf numFmtId="0" fontId="134" fillId="0" borderId="79" xfId="0" applyFont="1" applyBorder="1" applyAlignment="1" applyProtection="1">
      <alignment vertical="center" wrapText="1"/>
      <protection locked="0"/>
    </xf>
    <xf numFmtId="0" fontId="5" fillId="0" borderId="84" xfId="0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4" fillId="0" borderId="64" xfId="0" applyNumberFormat="1" applyFont="1" applyFill="1" applyBorder="1" applyAlignment="1">
      <alignment vertical="center" wrapText="1"/>
    </xf>
    <xf numFmtId="3" fontId="4" fillId="0" borderId="81" xfId="0" applyNumberFormat="1" applyFont="1" applyFill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135" fillId="0" borderId="78" xfId="0" applyFont="1" applyBorder="1" applyAlignment="1" applyProtection="1">
      <alignment vertical="center" wrapText="1"/>
      <protection locked="0"/>
    </xf>
    <xf numFmtId="3" fontId="4" fillId="0" borderId="87" xfId="0" applyNumberFormat="1" applyFont="1" applyBorder="1" applyAlignment="1">
      <alignment vertical="center" wrapText="1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79" xfId="0" applyFont="1" applyBorder="1" applyAlignment="1" applyProtection="1">
      <alignment/>
      <protection locked="0"/>
    </xf>
    <xf numFmtId="3" fontId="4" fillId="0" borderId="86" xfId="0" applyNumberFormat="1" applyFont="1" applyFill="1" applyBorder="1" applyAlignment="1">
      <alignment vertical="center" wrapText="1"/>
    </xf>
    <xf numFmtId="0" fontId="5" fillId="11" borderId="85" xfId="0" applyFont="1" applyFill="1" applyBorder="1" applyAlignment="1">
      <alignment horizontal="left" vertical="center" wrapText="1"/>
    </xf>
    <xf numFmtId="0" fontId="5" fillId="11" borderId="78" xfId="0" applyFont="1" applyFill="1" applyBorder="1" applyAlignment="1">
      <alignment horizontal="left" vertical="center" wrapText="1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3" xfId="0" applyNumberFormat="1" applyFont="1" applyFill="1" applyBorder="1" applyAlignment="1">
      <alignment horizontal="center" vertical="center" wrapText="1"/>
    </xf>
    <xf numFmtId="1" fontId="2" fillId="59" borderId="63" xfId="0" applyNumberFormat="1" applyFont="1" applyFill="1" applyBorder="1" applyAlignment="1">
      <alignment horizontal="center" vertical="center" wrapText="1"/>
    </xf>
    <xf numFmtId="0" fontId="2" fillId="59" borderId="63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3" fontId="2" fillId="0" borderId="29" xfId="1425" applyNumberFormat="1" applyFont="1" applyBorder="1" applyAlignment="1">
      <alignment vertical="center" wrapText="1"/>
      <protection/>
    </xf>
    <xf numFmtId="0" fontId="137" fillId="17" borderId="29" xfId="1507" applyFont="1" applyFill="1" applyBorder="1" applyAlignment="1">
      <alignment vertical="center" wrapText="1"/>
      <protection/>
    </xf>
    <xf numFmtId="0" fontId="137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3" fontId="138" fillId="11" borderId="63" xfId="0" applyNumberFormat="1" applyFont="1" applyFill="1" applyBorder="1" applyAlignment="1">
      <alignment vertical="center" wrapText="1"/>
    </xf>
    <xf numFmtId="3" fontId="138" fillId="11" borderId="33" xfId="0" applyNumberFormat="1" applyFont="1" applyFill="1" applyBorder="1" applyAlignment="1">
      <alignment vertical="center" wrapText="1"/>
    </xf>
    <xf numFmtId="3" fontId="138" fillId="11" borderId="88" xfId="0" applyNumberFormat="1" applyFont="1" applyFill="1" applyBorder="1" applyAlignment="1">
      <alignment vertical="center" wrapText="1"/>
    </xf>
    <xf numFmtId="3" fontId="138" fillId="11" borderId="29" xfId="0" applyNumberFormat="1" applyFont="1" applyFill="1" applyBorder="1" applyAlignment="1">
      <alignment vertical="center" wrapText="1"/>
    </xf>
    <xf numFmtId="3" fontId="138" fillId="11" borderId="31" xfId="0" applyNumberFormat="1" applyFont="1" applyFill="1" applyBorder="1" applyAlignment="1">
      <alignment vertical="center" wrapText="1"/>
    </xf>
    <xf numFmtId="3" fontId="138" fillId="11" borderId="89" xfId="0" applyNumberFormat="1" applyFont="1" applyFill="1" applyBorder="1" applyAlignment="1">
      <alignment vertical="center" wrapText="1"/>
    </xf>
    <xf numFmtId="3" fontId="139" fillId="59" borderId="29" xfId="0" applyNumberFormat="1" applyFont="1" applyFill="1" applyBorder="1" applyAlignment="1">
      <alignment vertical="center" wrapText="1"/>
    </xf>
    <xf numFmtId="3" fontId="139" fillId="59" borderId="33" xfId="0" applyNumberFormat="1" applyFont="1" applyFill="1" applyBorder="1" applyAlignment="1">
      <alignment vertical="center" wrapText="1"/>
    </xf>
    <xf numFmtId="3" fontId="139" fillId="59" borderId="88" xfId="0" applyNumberFormat="1" applyFont="1" applyFill="1" applyBorder="1" applyAlignment="1">
      <alignment vertical="center" wrapText="1"/>
    </xf>
    <xf numFmtId="3" fontId="140" fillId="0" borderId="81" xfId="0" applyNumberFormat="1" applyFont="1" applyBorder="1" applyAlignment="1">
      <alignment vertical="center" wrapText="1"/>
    </xf>
    <xf numFmtId="3" fontId="140" fillId="0" borderId="90" xfId="0" applyNumberFormat="1" applyFont="1" applyBorder="1" applyAlignment="1">
      <alignment vertical="center" wrapText="1"/>
    </xf>
    <xf numFmtId="3" fontId="138" fillId="59" borderId="75" xfId="0" applyNumberFormat="1" applyFont="1" applyFill="1" applyBorder="1" applyAlignment="1">
      <alignment vertical="center" wrapText="1"/>
    </xf>
    <xf numFmtId="3" fontId="138" fillId="59" borderId="91" xfId="0" applyNumberFormat="1" applyFont="1" applyFill="1" applyBorder="1" applyAlignment="1">
      <alignment vertical="center" wrapText="1"/>
    </xf>
    <xf numFmtId="3" fontId="138" fillId="59" borderId="92" xfId="0" applyNumberFormat="1" applyFont="1" applyFill="1" applyBorder="1" applyAlignment="1">
      <alignment vertical="center" wrapText="1"/>
    </xf>
    <xf numFmtId="3" fontId="138" fillId="11" borderId="81" xfId="0" applyNumberFormat="1" applyFont="1" applyFill="1" applyBorder="1" applyAlignment="1">
      <alignment vertical="center" wrapText="1"/>
    </xf>
    <xf numFmtId="3" fontId="138" fillId="11" borderId="93" xfId="0" applyNumberFormat="1" applyFont="1" applyFill="1" applyBorder="1" applyAlignment="1">
      <alignment vertical="center" wrapText="1"/>
    </xf>
    <xf numFmtId="3" fontId="138" fillId="11" borderId="90" xfId="0" applyNumberFormat="1" applyFont="1" applyFill="1" applyBorder="1" applyAlignment="1">
      <alignment vertical="center" wrapText="1"/>
    </xf>
    <xf numFmtId="3" fontId="138" fillId="59" borderId="64" xfId="0" applyNumberFormat="1" applyFont="1" applyFill="1" applyBorder="1" applyAlignment="1">
      <alignment vertical="center" wrapText="1"/>
    </xf>
    <xf numFmtId="3" fontId="138" fillId="59" borderId="63" xfId="0" applyNumberFormat="1" applyFont="1" applyFill="1" applyBorder="1" applyAlignment="1">
      <alignment vertical="center" wrapText="1"/>
    </xf>
    <xf numFmtId="3" fontId="138" fillId="59" borderId="33" xfId="0" applyNumberFormat="1" applyFont="1" applyFill="1" applyBorder="1" applyAlignment="1">
      <alignment vertical="center" wrapText="1"/>
    </xf>
    <xf numFmtId="3" fontId="138" fillId="59" borderId="88" xfId="0" applyNumberFormat="1" applyFont="1" applyFill="1" applyBorder="1" applyAlignment="1">
      <alignment vertical="center" wrapText="1"/>
    </xf>
    <xf numFmtId="3" fontId="138" fillId="59" borderId="29" xfId="0" applyNumberFormat="1" applyFont="1" applyFill="1" applyBorder="1" applyAlignment="1">
      <alignment vertical="center" wrapText="1"/>
    </xf>
    <xf numFmtId="3" fontId="140" fillId="0" borderId="93" xfId="0" applyNumberFormat="1" applyFont="1" applyBorder="1" applyAlignment="1">
      <alignment vertical="center" wrapText="1"/>
    </xf>
    <xf numFmtId="3" fontId="138" fillId="59" borderId="31" xfId="0" applyNumberFormat="1" applyFont="1" applyFill="1" applyBorder="1" applyAlignment="1">
      <alignment vertical="center" wrapText="1"/>
    </xf>
    <xf numFmtId="3" fontId="138" fillId="59" borderId="89" xfId="0" applyNumberFormat="1" applyFont="1" applyFill="1" applyBorder="1" applyAlignment="1">
      <alignment vertical="center" wrapText="1"/>
    </xf>
    <xf numFmtId="3" fontId="138" fillId="59" borderId="94" xfId="0" applyNumberFormat="1" applyFont="1" applyFill="1" applyBorder="1" applyAlignment="1">
      <alignment vertical="center" wrapText="1"/>
    </xf>
    <xf numFmtId="3" fontId="138" fillId="59" borderId="86" xfId="0" applyNumberFormat="1" applyFont="1" applyFill="1" applyBorder="1" applyAlignment="1">
      <alignment vertical="center" wrapText="1"/>
    </xf>
    <xf numFmtId="3" fontId="138" fillId="59" borderId="95" xfId="0" applyNumberFormat="1" applyFont="1" applyFill="1" applyBorder="1" applyAlignment="1">
      <alignment vertical="center" wrapText="1"/>
    </xf>
    <xf numFmtId="3" fontId="139" fillId="59" borderId="89" xfId="0" applyNumberFormat="1" applyFont="1" applyFill="1" applyBorder="1" applyAlignment="1">
      <alignment vertical="center" wrapText="1"/>
    </xf>
    <xf numFmtId="3" fontId="138" fillId="0" borderId="29" xfId="0" applyNumberFormat="1" applyFont="1" applyFill="1" applyBorder="1" applyAlignment="1">
      <alignment vertical="center" wrapText="1"/>
    </xf>
    <xf numFmtId="3" fontId="138" fillId="0" borderId="33" xfId="0" applyNumberFormat="1" applyFont="1" applyFill="1" applyBorder="1" applyAlignment="1">
      <alignment vertical="center" wrapText="1"/>
    </xf>
    <xf numFmtId="3" fontId="138" fillId="0" borderId="88" xfId="0" applyNumberFormat="1" applyFont="1" applyFill="1" applyBorder="1" applyAlignment="1">
      <alignment vertical="center" wrapText="1"/>
    </xf>
    <xf numFmtId="3" fontId="140" fillId="17" borderId="81" xfId="0" applyNumberFormat="1" applyFont="1" applyFill="1" applyBorder="1" applyAlignment="1">
      <alignment vertical="center" wrapText="1"/>
    </xf>
    <xf numFmtId="3" fontId="140" fillId="17" borderId="90" xfId="0" applyNumberFormat="1" applyFont="1" applyFill="1" applyBorder="1" applyAlignment="1">
      <alignment vertical="center" wrapText="1"/>
    </xf>
    <xf numFmtId="3" fontId="138" fillId="59" borderId="0" xfId="0" applyNumberFormat="1" applyFont="1" applyFill="1" applyAlignment="1">
      <alignment/>
    </xf>
    <xf numFmtId="0" fontId="138" fillId="59" borderId="0" xfId="0" applyFont="1" applyFill="1" applyAlignment="1">
      <alignment/>
    </xf>
    <xf numFmtId="0" fontId="136" fillId="0" borderId="78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41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3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8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4" fillId="0" borderId="90" xfId="0" applyNumberFormat="1" applyFont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7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3" fontId="12" fillId="59" borderId="88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81" xfId="0" applyNumberFormat="1" applyFont="1" applyFill="1" applyBorder="1" applyAlignment="1">
      <alignment vertical="center" wrapText="1"/>
    </xf>
    <xf numFmtId="3" fontId="5" fillId="59" borderId="63" xfId="0" applyNumberFormat="1" applyFont="1" applyFill="1" applyBorder="1" applyAlignment="1">
      <alignment vertical="center" wrapText="1"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/>
      <protection locked="0"/>
    </xf>
    <xf numFmtId="0" fontId="5" fillId="11" borderId="83" xfId="0" applyFont="1" applyFill="1" applyBorder="1" applyAlignment="1">
      <alignment vertical="center" wrapText="1"/>
    </xf>
    <xf numFmtId="0" fontId="80" fillId="11" borderId="29" xfId="0" applyFont="1" applyFill="1" applyBorder="1" applyAlignment="1">
      <alignment vertical="center" wrapText="1"/>
    </xf>
    <xf numFmtId="3" fontId="7" fillId="59" borderId="29" xfId="0" applyNumberFormat="1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3" fillId="0" borderId="78" xfId="1425" applyFont="1" applyBorder="1" applyAlignment="1">
      <alignment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3" fillId="0" borderId="84" xfId="1425" applyFont="1" applyBorder="1" applyAlignment="1">
      <alignment vertical="center" wrapText="1"/>
      <protection/>
    </xf>
    <xf numFmtId="3" fontId="3" fillId="0" borderId="64" xfId="1425" applyNumberFormat="1" applyFont="1" applyBorder="1" applyAlignment="1">
      <alignment vertical="center" wrapText="1"/>
      <protection/>
    </xf>
    <xf numFmtId="3" fontId="35" fillId="0" borderId="64" xfId="1425" applyNumberFormat="1" applyFont="1" applyBorder="1" applyAlignment="1">
      <alignment vertical="center" wrapText="1"/>
      <protection/>
    </xf>
    <xf numFmtId="0" fontId="2" fillId="0" borderId="78" xfId="1425" applyFont="1" applyBorder="1" applyAlignment="1">
      <alignment vertical="center" wrapText="1"/>
      <protection/>
    </xf>
    <xf numFmtId="3" fontId="11" fillId="0" borderId="63" xfId="1425" applyNumberFormat="1" applyFont="1" applyBorder="1" applyAlignment="1">
      <alignment vertical="center" wrapText="1"/>
      <protection/>
    </xf>
    <xf numFmtId="0" fontId="2" fillId="0" borderId="79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4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7" xfId="1425" applyNumberFormat="1" applyFont="1" applyFill="1" applyBorder="1" applyAlignment="1">
      <alignment vertical="center" wrapText="1"/>
      <protection/>
    </xf>
    <xf numFmtId="3" fontId="2" fillId="59" borderId="97" xfId="1425" applyNumberFormat="1" applyFont="1" applyFill="1" applyBorder="1" applyAlignment="1">
      <alignment vertical="center" wrapText="1"/>
      <protection/>
    </xf>
    <xf numFmtId="3" fontId="11" fillId="59" borderId="97" xfId="1425" applyNumberFormat="1" applyFont="1" applyFill="1" applyBorder="1" applyAlignment="1">
      <alignment vertical="center" wrapText="1"/>
      <protection/>
    </xf>
    <xf numFmtId="3" fontId="2" fillId="59" borderId="66" xfId="1425" applyNumberFormat="1" applyFont="1" applyFill="1" applyBorder="1" applyAlignment="1">
      <alignment vertical="center" wrapText="1"/>
      <protection/>
    </xf>
    <xf numFmtId="0" fontId="132" fillId="0" borderId="0" xfId="0" applyFont="1" applyAlignment="1">
      <alignment/>
    </xf>
    <xf numFmtId="0" fontId="132" fillId="0" borderId="0" xfId="0" applyFont="1" applyAlignment="1">
      <alignment horizontal="right"/>
    </xf>
    <xf numFmtId="3" fontId="4" fillId="11" borderId="93" xfId="0" applyNumberFormat="1" applyFont="1" applyFill="1" applyBorder="1" applyAlignment="1">
      <alignment vertical="center" wrapText="1"/>
    </xf>
    <xf numFmtId="3" fontId="4" fillId="11" borderId="90" xfId="0" applyNumberFormat="1" applyFont="1" applyFill="1" applyBorder="1" applyAlignment="1">
      <alignment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3" fontId="35" fillId="0" borderId="81" xfId="0" applyNumberFormat="1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0" fontId="2" fillId="11" borderId="98" xfId="0" applyFont="1" applyFill="1" applyBorder="1" applyAlignment="1">
      <alignment vertical="center" wrapText="1"/>
    </xf>
    <xf numFmtId="1" fontId="132" fillId="59" borderId="30" xfId="0" applyNumberFormat="1" applyFont="1" applyFill="1" applyBorder="1" applyAlignment="1">
      <alignment horizontal="center" vertical="center" wrapText="1"/>
    </xf>
    <xf numFmtId="0" fontId="132" fillId="59" borderId="30" xfId="0" applyFont="1" applyFill="1" applyBorder="1" applyAlignment="1">
      <alignment horizontal="center" vertical="center" wrapText="1"/>
    </xf>
    <xf numFmtId="0" fontId="142" fillId="59" borderId="30" xfId="0" applyFont="1" applyFill="1" applyBorder="1" applyAlignment="1">
      <alignment horizontal="center" vertical="center" wrapText="1"/>
    </xf>
    <xf numFmtId="1" fontId="143" fillId="11" borderId="40" xfId="0" applyNumberFormat="1" applyFont="1" applyFill="1" applyBorder="1" applyAlignment="1">
      <alignment horizontal="center" vertical="center" wrapText="1"/>
    </xf>
    <xf numFmtId="3" fontId="143" fillId="59" borderId="99" xfId="0" applyNumberFormat="1" applyFont="1" applyFill="1" applyBorder="1" applyAlignment="1">
      <alignment horizontal="center" vertical="center" wrapText="1"/>
    </xf>
    <xf numFmtId="1" fontId="144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3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45" fillId="0" borderId="0" xfId="919" applyFont="1">
      <alignment/>
      <protection/>
    </xf>
    <xf numFmtId="2" fontId="145" fillId="59" borderId="29" xfId="1507" applyNumberFormat="1" applyFont="1" applyFill="1" applyBorder="1" applyAlignment="1">
      <alignment vertical="center" wrapText="1"/>
      <protection/>
    </xf>
    <xf numFmtId="4" fontId="145" fillId="59" borderId="29" xfId="1507" applyNumberFormat="1" applyFont="1" applyFill="1" applyBorder="1">
      <alignment/>
      <protection/>
    </xf>
    <xf numFmtId="2" fontId="146" fillId="59" borderId="29" xfId="1507" applyNumberFormat="1" applyFont="1" applyFill="1" applyBorder="1" applyAlignment="1">
      <alignment vertical="center" wrapText="1"/>
      <protection/>
    </xf>
    <xf numFmtId="4" fontId="146" fillId="59" borderId="29" xfId="1507" applyNumberFormat="1" applyFont="1" applyFill="1" applyBorder="1" applyAlignment="1">
      <alignment vertical="center" wrapText="1"/>
      <protection/>
    </xf>
    <xf numFmtId="2" fontId="147" fillId="59" borderId="29" xfId="1507" applyNumberFormat="1" applyFont="1" applyFill="1" applyBorder="1" applyAlignment="1">
      <alignment horizontal="center" vertical="center" wrapText="1"/>
      <protection/>
    </xf>
    <xf numFmtId="0" fontId="145" fillId="0" borderId="0" xfId="919" applyFont="1" applyAlignment="1">
      <alignment horizontal="right"/>
      <protection/>
    </xf>
    <xf numFmtId="4" fontId="146" fillId="59" borderId="29" xfId="1507" applyNumberFormat="1" applyFont="1" applyFill="1" applyBorder="1">
      <alignment/>
      <protection/>
    </xf>
    <xf numFmtId="0" fontId="148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33" fillId="11" borderId="49" xfId="0" applyFont="1" applyFill="1" applyBorder="1" applyAlignment="1">
      <alignment horizontal="center" vertical="center" wrapText="1"/>
    </xf>
    <xf numFmtId="0" fontId="133" fillId="11" borderId="49" xfId="0" applyFont="1" applyFill="1" applyBorder="1" applyAlignment="1">
      <alignment vertical="center" wrapText="1"/>
    </xf>
    <xf numFmtId="3" fontId="149" fillId="59" borderId="0" xfId="0" applyNumberFormat="1" applyFont="1" applyFill="1" applyAlignment="1">
      <alignment/>
    </xf>
    <xf numFmtId="49" fontId="2" fillId="0" borderId="63" xfId="2078" applyNumberFormat="1" applyFont="1" applyBorder="1" applyAlignment="1">
      <alignment horizontal="center" vertical="center"/>
      <protection/>
    </xf>
    <xf numFmtId="0" fontId="2" fillId="60" borderId="70" xfId="2078" applyFont="1" applyFill="1" applyBorder="1" applyAlignment="1">
      <alignment vertical="center" wrapText="1"/>
      <protection/>
    </xf>
    <xf numFmtId="4" fontId="132" fillId="0" borderId="29" xfId="2078" applyNumberFormat="1" applyFont="1" applyBorder="1" applyAlignment="1">
      <alignment horizontal="right" vertical="center"/>
      <protection/>
    </xf>
    <xf numFmtId="4" fontId="150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6" xfId="2078" applyFont="1" applyFill="1" applyBorder="1" applyAlignment="1">
      <alignment vertical="center" wrapText="1"/>
      <protection/>
    </xf>
    <xf numFmtId="0" fontId="2" fillId="0" borderId="66" xfId="2078" applyFont="1" applyBorder="1" applyAlignment="1">
      <alignment vertical="center" wrapText="1"/>
      <protection/>
    </xf>
    <xf numFmtId="4" fontId="143" fillId="0" borderId="29" xfId="2078" applyNumberFormat="1" applyFont="1" applyBorder="1" applyAlignment="1">
      <alignment horizontal="right" vertical="center"/>
      <protection/>
    </xf>
    <xf numFmtId="0" fontId="143" fillId="0" borderId="29" xfId="2078" applyFont="1" applyBorder="1" applyAlignment="1">
      <alignment vertical="center"/>
      <protection/>
    </xf>
    <xf numFmtId="4" fontId="132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32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6" xfId="2078" applyFont="1" applyFill="1" applyBorder="1" applyAlignment="1">
      <alignment vertical="center" wrapText="1"/>
      <protection/>
    </xf>
    <xf numFmtId="0" fontId="143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3" xfId="0" applyNumberFormat="1" applyFont="1" applyFill="1" applyBorder="1" applyAlignment="1">
      <alignment horizontal="center" vertical="center" wrapText="1"/>
    </xf>
    <xf numFmtId="4" fontId="143" fillId="0" borderId="0" xfId="0" applyNumberFormat="1" applyFont="1" applyAlignment="1">
      <alignment wrapText="1"/>
    </xf>
    <xf numFmtId="4" fontId="132" fillId="0" borderId="0" xfId="0" applyNumberFormat="1" applyFont="1" applyAlignment="1">
      <alignment wrapText="1"/>
    </xf>
    <xf numFmtId="4" fontId="143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100" xfId="0" applyFont="1" applyFill="1" applyBorder="1" applyAlignment="1">
      <alignment horizontal="center" vertical="center" wrapText="1"/>
    </xf>
    <xf numFmtId="0" fontId="2" fillId="11" borderId="10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102" xfId="0" applyNumberFormat="1" applyFont="1" applyFill="1" applyBorder="1" applyAlignment="1">
      <alignment vertical="center" wrapText="1"/>
    </xf>
    <xf numFmtId="3" fontId="5" fillId="59" borderId="95" xfId="0" applyNumberFormat="1" applyFont="1" applyFill="1" applyBorder="1" applyAlignment="1">
      <alignment vertical="center" wrapText="1"/>
    </xf>
    <xf numFmtId="3" fontId="5" fillId="59" borderId="31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1" fontId="151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34" fillId="11" borderId="32" xfId="0" applyNumberFormat="1" applyFont="1" applyFill="1" applyBorder="1" applyAlignment="1">
      <alignment horizontal="center" vertical="center" wrapText="1"/>
    </xf>
    <xf numFmtId="1" fontId="2" fillId="59" borderId="68" xfId="0" applyNumberFormat="1" applyFont="1" applyFill="1" applyBorder="1" applyAlignment="1">
      <alignment horizontal="center" vertical="center" wrapText="1"/>
    </xf>
    <xf numFmtId="1" fontId="2" fillId="59" borderId="59" xfId="0" applyNumberFormat="1" applyFont="1" applyFill="1" applyBorder="1" applyAlignment="1">
      <alignment horizontal="center" vertical="center" wrapText="1"/>
    </xf>
    <xf numFmtId="0" fontId="152" fillId="59" borderId="30" xfId="0" applyFont="1" applyFill="1" applyBorder="1" applyAlignment="1">
      <alignment horizontal="center" vertical="center" wrapText="1"/>
    </xf>
    <xf numFmtId="0" fontId="2" fillId="59" borderId="59" xfId="0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2" xfId="0" applyNumberFormat="1" applyFont="1" applyFill="1" applyBorder="1" applyAlignment="1">
      <alignment horizontal="center" vertical="center" wrapText="1"/>
    </xf>
    <xf numFmtId="0" fontId="2" fillId="59" borderId="103" xfId="0" applyFont="1" applyFill="1" applyBorder="1" applyAlignment="1">
      <alignment horizontal="center" vertical="center" wrapText="1"/>
    </xf>
    <xf numFmtId="0" fontId="12" fillId="59" borderId="103" xfId="0" applyFont="1" applyFill="1" applyBorder="1" applyAlignment="1">
      <alignment horizontal="center" vertical="center" wrapText="1"/>
    </xf>
    <xf numFmtId="1" fontId="12" fillId="59" borderId="63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132" fillId="59" borderId="32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75" xfId="0" applyNumberFormat="1" applyFont="1" applyFill="1" applyBorder="1" applyAlignment="1">
      <alignment vertical="center" wrapText="1"/>
    </xf>
    <xf numFmtId="3" fontId="12" fillId="59" borderId="91" xfId="0" applyNumberFormat="1" applyFont="1" applyFill="1" applyBorder="1" applyAlignment="1">
      <alignment vertical="center" wrapText="1"/>
    </xf>
    <xf numFmtId="3" fontId="12" fillId="59" borderId="92" xfId="0" applyNumberFormat="1" applyFont="1" applyFill="1" applyBorder="1" applyAlignment="1">
      <alignment vertical="center" wrapText="1"/>
    </xf>
    <xf numFmtId="0" fontId="138" fillId="0" borderId="79" xfId="0" applyFont="1" applyBorder="1" applyAlignment="1">
      <alignment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0" fontId="138" fillId="0" borderId="84" xfId="0" applyFont="1" applyBorder="1" applyAlignment="1">
      <alignment/>
    </xf>
    <xf numFmtId="3" fontId="5" fillId="59" borderId="64" xfId="0" applyNumberFormat="1" applyFont="1" applyFill="1" applyBorder="1" applyAlignment="1">
      <alignment horizontal="center"/>
    </xf>
    <xf numFmtId="0" fontId="140" fillId="57" borderId="80" xfId="0" applyFont="1" applyFill="1" applyBorder="1" applyAlignment="1">
      <alignment horizontal="right"/>
    </xf>
    <xf numFmtId="3" fontId="140" fillId="57" borderId="81" xfId="0" applyNumberFormat="1" applyFont="1" applyFill="1" applyBorder="1" applyAlignment="1">
      <alignment horizontal="center"/>
    </xf>
    <xf numFmtId="3" fontId="140" fillId="57" borderId="93" xfId="0" applyNumberFormat="1" applyFont="1" applyFill="1" applyBorder="1" applyAlignment="1">
      <alignment horizontal="center"/>
    </xf>
    <xf numFmtId="3" fontId="140" fillId="57" borderId="104" xfId="0" applyNumberFormat="1" applyFont="1" applyFill="1" applyBorder="1" applyAlignment="1">
      <alignment horizontal="center"/>
    </xf>
    <xf numFmtId="3" fontId="140" fillId="57" borderId="105" xfId="0" applyNumberFormat="1" applyFont="1" applyFill="1" applyBorder="1" applyAlignment="1">
      <alignment horizontal="center"/>
    </xf>
    <xf numFmtId="3" fontId="140" fillId="57" borderId="106" xfId="0" applyNumberFormat="1" applyFont="1" applyFill="1" applyBorder="1" applyAlignment="1">
      <alignment horizontal="center"/>
    </xf>
    <xf numFmtId="3" fontId="140" fillId="57" borderId="107" xfId="0" applyNumberFormat="1" applyFont="1" applyFill="1" applyBorder="1" applyAlignment="1">
      <alignment horizontal="center"/>
    </xf>
    <xf numFmtId="0" fontId="138" fillId="0" borderId="78" xfId="0" applyNumberFormat="1" applyFont="1" applyBorder="1" applyAlignment="1">
      <alignment vertical="center" wrapText="1"/>
    </xf>
    <xf numFmtId="3" fontId="153" fillId="0" borderId="63" xfId="0" applyNumberFormat="1" applyFont="1" applyFill="1" applyBorder="1" applyAlignment="1">
      <alignment vertical="center" wrapText="1"/>
    </xf>
    <xf numFmtId="3" fontId="154" fillId="59" borderId="33" xfId="0" applyNumberFormat="1" applyFont="1" applyFill="1" applyBorder="1" applyAlignment="1">
      <alignment vertical="center" wrapText="1"/>
    </xf>
    <xf numFmtId="3" fontId="154" fillId="59" borderId="88" xfId="0" applyNumberFormat="1" applyFont="1" applyFill="1" applyBorder="1" applyAlignment="1">
      <alignment vertical="center" wrapText="1"/>
    </xf>
    <xf numFmtId="0" fontId="154" fillId="0" borderId="0" xfId="0" applyFont="1" applyAlignment="1">
      <alignment/>
    </xf>
    <xf numFmtId="3" fontId="154" fillId="0" borderId="0" xfId="0" applyNumberFormat="1" applyFont="1" applyAlignment="1">
      <alignment/>
    </xf>
    <xf numFmtId="0" fontId="155" fillId="57" borderId="108" xfId="0" applyFont="1" applyFill="1" applyBorder="1" applyAlignment="1">
      <alignment horizontal="center" vertical="center" wrapText="1"/>
    </xf>
    <xf numFmtId="3" fontId="155" fillId="0" borderId="63" xfId="0" applyNumberFormat="1" applyFont="1" applyBorder="1" applyAlignment="1">
      <alignment horizontal="center"/>
    </xf>
    <xf numFmtId="3" fontId="155" fillId="0" borderId="29" xfId="0" applyNumberFormat="1" applyFont="1" applyBorder="1" applyAlignment="1">
      <alignment horizontal="center"/>
    </xf>
    <xf numFmtId="3" fontId="155" fillId="26" borderId="29" xfId="0" applyNumberFormat="1" applyFont="1" applyFill="1" applyBorder="1" applyAlignment="1">
      <alignment horizontal="center"/>
    </xf>
    <xf numFmtId="3" fontId="155" fillId="0" borderId="64" xfId="0" applyNumberFormat="1" applyFont="1" applyBorder="1" applyAlignment="1">
      <alignment horizontal="center"/>
    </xf>
    <xf numFmtId="3" fontId="156" fillId="57" borderId="81" xfId="0" applyNumberFormat="1" applyFont="1" applyFill="1" applyBorder="1" applyAlignment="1">
      <alignment horizontal="center"/>
    </xf>
    <xf numFmtId="0" fontId="154" fillId="0" borderId="78" xfId="0" applyFont="1" applyBorder="1" applyAlignment="1" applyProtection="1">
      <alignment vertical="center" wrapText="1"/>
      <protection locked="0"/>
    </xf>
    <xf numFmtId="3" fontId="154" fillId="59" borderId="29" xfId="0" applyNumberFormat="1" applyFont="1" applyFill="1" applyBorder="1" applyAlignment="1">
      <alignment vertical="center" wrapText="1"/>
    </xf>
    <xf numFmtId="3" fontId="141" fillId="59" borderId="29" xfId="0" applyNumberFormat="1" applyFont="1" applyFill="1" applyBorder="1" applyAlignment="1">
      <alignment vertical="center" wrapText="1"/>
    </xf>
    <xf numFmtId="3" fontId="141" fillId="59" borderId="31" xfId="0" applyNumberFormat="1" applyFont="1" applyFill="1" applyBorder="1" applyAlignment="1">
      <alignment vertical="center" wrapText="1"/>
    </xf>
    <xf numFmtId="3" fontId="141" fillId="59" borderId="89" xfId="0" applyNumberFormat="1" applyFont="1" applyFill="1" applyBorder="1" applyAlignment="1">
      <alignment vertical="center" wrapText="1"/>
    </xf>
    <xf numFmtId="0" fontId="141" fillId="0" borderId="0" xfId="0" applyFont="1" applyAlignment="1">
      <alignment/>
    </xf>
    <xf numFmtId="0" fontId="157" fillId="0" borderId="0" xfId="0" applyFont="1" applyAlignment="1">
      <alignment/>
    </xf>
    <xf numFmtId="1" fontId="157" fillId="0" borderId="0" xfId="0" applyNumberFormat="1" applyFont="1" applyAlignment="1">
      <alignment/>
    </xf>
    <xf numFmtId="0" fontId="153" fillId="0" borderId="78" xfId="0" applyFont="1" applyBorder="1" applyAlignment="1" applyProtection="1">
      <alignment vertical="center" wrapText="1"/>
      <protection locked="0"/>
    </xf>
    <xf numFmtId="1" fontId="157" fillId="0" borderId="0" xfId="0" applyNumberFormat="1" applyFont="1" applyAlignment="1">
      <alignment vertical="center" wrapText="1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4" fontId="132" fillId="0" borderId="29" xfId="2078" applyNumberFormat="1" applyFont="1" applyBorder="1" applyAlignment="1">
      <alignment horizontal="center" vertical="center"/>
      <protection/>
    </xf>
    <xf numFmtId="0" fontId="85" fillId="11" borderId="63" xfId="0" applyFont="1" applyFill="1" applyBorder="1" applyAlignment="1">
      <alignment vertical="center" wrapText="1"/>
    </xf>
    <xf numFmtId="3" fontId="69" fillId="59" borderId="7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4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70" xfId="0" applyNumberFormat="1" applyFont="1" applyFill="1" applyBorder="1" applyAlignment="1">
      <alignment horizontal="center" vertical="center" wrapText="1"/>
    </xf>
    <xf numFmtId="3" fontId="5" fillId="59" borderId="70" xfId="0" applyNumberFormat="1" applyFont="1" applyFill="1" applyBorder="1" applyAlignment="1">
      <alignment horizontal="center" vertical="center" wrapText="1"/>
    </xf>
    <xf numFmtId="3" fontId="4" fillId="17" borderId="63" xfId="0" applyNumberFormat="1" applyFont="1" applyFill="1" applyBorder="1" applyAlignment="1">
      <alignment horizontal="center" vertical="center" wrapText="1"/>
    </xf>
    <xf numFmtId="0" fontId="158" fillId="0" borderId="0" xfId="0" applyFont="1" applyAlignment="1">
      <alignment vertical="center" wrapText="1"/>
    </xf>
    <xf numFmtId="2" fontId="158" fillId="0" borderId="0" xfId="0" applyNumberFormat="1" applyFont="1" applyAlignment="1">
      <alignment vertical="center" wrapText="1"/>
    </xf>
    <xf numFmtId="0" fontId="159" fillId="0" borderId="0" xfId="0" applyFont="1" applyAlignment="1">
      <alignment vertical="center" wrapText="1"/>
    </xf>
    <xf numFmtId="2" fontId="159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3" fontId="136" fillId="11" borderId="63" xfId="0" applyNumberFormat="1" applyFont="1" applyFill="1" applyBorder="1" applyAlignment="1">
      <alignment vertical="center" wrapText="1"/>
    </xf>
    <xf numFmtId="3" fontId="136" fillId="11" borderId="33" xfId="0" applyNumberFormat="1" applyFont="1" applyFill="1" applyBorder="1" applyAlignment="1">
      <alignment vertical="center" wrapText="1"/>
    </xf>
    <xf numFmtId="3" fontId="136" fillId="11" borderId="88" xfId="0" applyNumberFormat="1" applyFont="1" applyFill="1" applyBorder="1" applyAlignment="1">
      <alignment vertical="center" wrapText="1"/>
    </xf>
    <xf numFmtId="3" fontId="136" fillId="11" borderId="29" xfId="0" applyNumberFormat="1" applyFont="1" applyFill="1" applyBorder="1" applyAlignment="1">
      <alignment vertical="center" wrapText="1"/>
    </xf>
    <xf numFmtId="3" fontId="136" fillId="11" borderId="89" xfId="0" applyNumberFormat="1" applyFont="1" applyFill="1" applyBorder="1" applyAlignment="1">
      <alignment vertical="center" wrapText="1"/>
    </xf>
    <xf numFmtId="0" fontId="4" fillId="17" borderId="109" xfId="0" applyFont="1" applyFill="1" applyBorder="1" applyAlignment="1">
      <alignment horizontal="center" vertical="center" wrapText="1"/>
    </xf>
    <xf numFmtId="0" fontId="4" fillId="17" borderId="87" xfId="0" applyFont="1" applyFill="1" applyBorder="1" applyAlignment="1">
      <alignment horizontal="center" vertical="center" wrapText="1"/>
    </xf>
    <xf numFmtId="3" fontId="35" fillId="0" borderId="93" xfId="0" applyNumberFormat="1" applyFont="1" applyBorder="1" applyAlignment="1">
      <alignment horizontal="center" vertical="center" wrapText="1"/>
    </xf>
    <xf numFmtId="3" fontId="35" fillId="0" borderId="87" xfId="0" applyNumberFormat="1" applyFont="1" applyBorder="1" applyAlignment="1">
      <alignment horizontal="center" vertical="center" wrapText="1"/>
    </xf>
    <xf numFmtId="3" fontId="35" fillId="0" borderId="110" xfId="0" applyNumberFormat="1" applyFont="1" applyBorder="1" applyAlignment="1">
      <alignment horizontal="center" vertical="center" wrapText="1"/>
    </xf>
    <xf numFmtId="0" fontId="4" fillId="17" borderId="111" xfId="0" applyFont="1" applyFill="1" applyBorder="1" applyAlignment="1">
      <alignment horizontal="center" vertical="center" wrapText="1"/>
    </xf>
    <xf numFmtId="0" fontId="4" fillId="17" borderId="112" xfId="0" applyFont="1" applyFill="1" applyBorder="1" applyAlignment="1">
      <alignment horizontal="center" vertical="center" wrapText="1"/>
    </xf>
    <xf numFmtId="0" fontId="140" fillId="17" borderId="29" xfId="0" applyFont="1" applyFill="1" applyBorder="1" applyAlignment="1">
      <alignment horizontal="center" vertical="top" wrapText="1"/>
    </xf>
    <xf numFmtId="0" fontId="140" fillId="17" borderId="113" xfId="0" applyFont="1" applyFill="1" applyBorder="1" applyAlignment="1">
      <alignment horizontal="center" vertical="top" wrapText="1"/>
    </xf>
    <xf numFmtId="0" fontId="140" fillId="59" borderId="0" xfId="0" applyFont="1" applyFill="1" applyAlignment="1">
      <alignment horizontal="right"/>
    </xf>
    <xf numFmtId="0" fontId="137" fillId="0" borderId="0" xfId="0" applyFont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83" xfId="0" applyFont="1" applyFill="1" applyBorder="1" applyAlignment="1">
      <alignment horizontal="center" vertical="center" wrapText="1"/>
    </xf>
    <xf numFmtId="0" fontId="4" fillId="17" borderId="82" xfId="0" applyFont="1" applyFill="1" applyBorder="1" applyAlignment="1">
      <alignment horizontal="center" vertical="center" wrapText="1"/>
    </xf>
    <xf numFmtId="0" fontId="4" fillId="0" borderId="115" xfId="0" applyFont="1" applyBorder="1" applyAlignment="1">
      <alignment horizontal="center"/>
    </xf>
    <xf numFmtId="0" fontId="13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0" fillId="17" borderId="112" xfId="0" applyFont="1" applyFill="1" applyBorder="1" applyAlignment="1">
      <alignment horizontal="center" vertical="center" wrapText="1"/>
    </xf>
    <xf numFmtId="0" fontId="140" fillId="17" borderId="116" xfId="0" applyFont="1" applyFill="1" applyBorder="1" applyAlignment="1">
      <alignment horizontal="center" vertical="center" wrapText="1"/>
    </xf>
    <xf numFmtId="0" fontId="140" fillId="17" borderId="64" xfId="0" applyFont="1" applyFill="1" applyBorder="1" applyAlignment="1">
      <alignment horizontal="center" vertical="top" wrapText="1"/>
    </xf>
    <xf numFmtId="0" fontId="140" fillId="17" borderId="108" xfId="0" applyFont="1" applyFill="1" applyBorder="1" applyAlignment="1">
      <alignment horizontal="center" vertical="top" wrapText="1"/>
    </xf>
    <xf numFmtId="3" fontId="140" fillId="17" borderId="89" xfId="0" applyNumberFormat="1" applyFont="1" applyFill="1" applyBorder="1" applyAlignment="1">
      <alignment horizontal="center" vertical="top" wrapText="1"/>
    </xf>
    <xf numFmtId="3" fontId="140" fillId="17" borderId="117" xfId="0" applyNumberFormat="1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0" fontId="4" fillId="17" borderId="108" xfId="0" applyFont="1" applyFill="1" applyBorder="1" applyAlignment="1">
      <alignment horizontal="center" vertical="center" wrapText="1"/>
    </xf>
    <xf numFmtId="0" fontId="35" fillId="0" borderId="119" xfId="0" applyFont="1" applyBorder="1" applyAlignment="1">
      <alignment horizontal="center" vertical="center" wrapText="1"/>
    </xf>
    <xf numFmtId="0" fontId="35" fillId="0" borderId="120" xfId="0" applyFont="1" applyBorder="1" applyAlignment="1">
      <alignment horizontal="center" vertical="center" wrapText="1"/>
    </xf>
    <xf numFmtId="0" fontId="35" fillId="0" borderId="121" xfId="0" applyFont="1" applyBorder="1" applyAlignment="1">
      <alignment horizontal="center" vertical="center" wrapText="1"/>
    </xf>
    <xf numFmtId="0" fontId="2" fillId="17" borderId="64" xfId="1425" applyFont="1" applyFill="1" applyBorder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37" fillId="0" borderId="0" xfId="1425" applyFont="1" applyAlignment="1">
      <alignment horizontal="center" vertical="center" wrapText="1"/>
      <protection/>
    </xf>
    <xf numFmtId="0" fontId="2" fillId="17" borderId="75" xfId="1425" applyFont="1" applyFill="1" applyBorder="1" applyAlignment="1">
      <alignment horizontal="center" vertical="center" wrapText="1"/>
      <protection/>
    </xf>
    <xf numFmtId="0" fontId="3" fillId="17" borderId="64" xfId="1425" applyFont="1" applyFill="1" applyBorder="1" applyAlignment="1">
      <alignment horizontal="center" vertical="center" wrapText="1"/>
      <protection/>
    </xf>
    <xf numFmtId="0" fontId="3" fillId="17" borderId="75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40" fillId="57" borderId="122" xfId="0" applyFont="1" applyFill="1" applyBorder="1" applyAlignment="1">
      <alignment horizontal="center" vertical="center" wrapText="1"/>
    </xf>
    <xf numFmtId="0" fontId="140" fillId="57" borderId="123" xfId="0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/>
    </xf>
    <xf numFmtId="0" fontId="138" fillId="57" borderId="114" xfId="0" applyFont="1" applyFill="1" applyBorder="1" applyAlignment="1">
      <alignment horizontal="center" vertical="center" wrapText="1"/>
    </xf>
    <xf numFmtId="0" fontId="138" fillId="57" borderId="82" xfId="0" applyFont="1" applyFill="1" applyBorder="1" applyAlignment="1">
      <alignment horizontal="center" vertical="center" wrapText="1"/>
    </xf>
    <xf numFmtId="0" fontId="145" fillId="57" borderId="118" xfId="0" applyFont="1" applyFill="1" applyBorder="1" applyAlignment="1">
      <alignment horizontal="center" vertical="center" wrapText="1"/>
    </xf>
    <xf numFmtId="0" fontId="145" fillId="57" borderId="108" xfId="0" applyFont="1" applyFill="1" applyBorder="1" applyAlignment="1">
      <alignment horizontal="center" vertical="center" wrapText="1"/>
    </xf>
    <xf numFmtId="0" fontId="145" fillId="57" borderId="102" xfId="0" applyFont="1" applyFill="1" applyBorder="1" applyAlignment="1">
      <alignment horizontal="center" vertical="center" wrapText="1"/>
    </xf>
    <xf numFmtId="0" fontId="145" fillId="57" borderId="120" xfId="0" applyFont="1" applyFill="1" applyBorder="1" applyAlignment="1">
      <alignment horizontal="center" vertical="center" wrapText="1"/>
    </xf>
    <xf numFmtId="0" fontId="145" fillId="57" borderId="121" xfId="0" applyFont="1" applyFill="1" applyBorder="1" applyAlignment="1">
      <alignment horizontal="center" vertical="center" wrapText="1"/>
    </xf>
    <xf numFmtId="0" fontId="15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17" borderId="124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34" fillId="11" borderId="37" xfId="0" applyNumberFormat="1" applyFont="1" applyFill="1" applyBorder="1" applyAlignment="1">
      <alignment horizontal="center" vertical="center" wrapText="1"/>
    </xf>
    <xf numFmtId="1" fontId="134" fillId="11" borderId="68" xfId="0" applyNumberFormat="1" applyFont="1" applyFill="1" applyBorder="1" applyAlignment="1">
      <alignment horizontal="center" vertical="center" wrapText="1"/>
    </xf>
    <xf numFmtId="1" fontId="134" fillId="11" borderId="32" xfId="0" applyNumberFormat="1" applyFont="1" applyFill="1" applyBorder="1" applyAlignment="1">
      <alignment horizontal="center" vertical="center" wrapText="1"/>
    </xf>
    <xf numFmtId="0" fontId="150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0" fillId="11" borderId="0" xfId="0" applyFont="1" applyFill="1" applyAlignment="1">
      <alignment horizontal="center" vertical="center" wrapText="1"/>
    </xf>
    <xf numFmtId="0" fontId="3" fillId="17" borderId="67" xfId="0" applyFont="1" applyFill="1" applyBorder="1" applyAlignment="1">
      <alignment horizontal="center" vertical="top" wrapText="1"/>
    </xf>
    <xf numFmtId="0" fontId="3" fillId="17" borderId="125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26" xfId="0" applyFont="1" applyFill="1" applyBorder="1" applyAlignment="1">
      <alignment horizontal="center" vertical="top" wrapText="1"/>
    </xf>
    <xf numFmtId="0" fontId="4" fillId="17" borderId="127" xfId="0" applyFont="1" applyFill="1" applyBorder="1" applyAlignment="1">
      <alignment horizontal="center" vertical="top" wrapText="1"/>
    </xf>
    <xf numFmtId="0" fontId="3" fillId="17" borderId="65" xfId="0" applyFont="1" applyFill="1" applyBorder="1" applyAlignment="1">
      <alignment horizontal="center" vertical="top" wrapText="1"/>
    </xf>
    <xf numFmtId="0" fontId="3" fillId="17" borderId="9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60" fillId="0" borderId="0" xfId="0" applyFont="1" applyBorder="1" applyAlignment="1">
      <alignment horizontal="center"/>
    </xf>
    <xf numFmtId="0" fontId="2" fillId="17" borderId="64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7" xfId="855" applyFont="1" applyFill="1" applyBorder="1" applyAlignment="1" applyProtection="1">
      <alignment horizontal="center" vertical="center" wrapText="1"/>
      <protection/>
    </xf>
    <xf numFmtId="0" fontId="2" fillId="17" borderId="66" xfId="855" applyFont="1" applyFill="1" applyBorder="1" applyAlignment="1" applyProtection="1">
      <alignment horizontal="center" vertical="center" wrapText="1"/>
      <protection/>
    </xf>
    <xf numFmtId="0" fontId="2" fillId="17" borderId="64" xfId="0" applyFont="1" applyFill="1" applyBorder="1" applyAlignment="1">
      <alignment horizontal="center" vertical="center" wrapText="1"/>
    </xf>
    <xf numFmtId="0" fontId="2" fillId="17" borderId="75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3" fillId="17" borderId="75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0" fillId="0" borderId="64" xfId="2078" applyFont="1" applyBorder="1" applyAlignment="1">
      <alignment horizontal="center" vertical="center" wrapText="1"/>
      <protection/>
    </xf>
    <xf numFmtId="0" fontId="10" fillId="0" borderId="75" xfId="2078" applyFont="1" applyBorder="1" applyAlignment="1">
      <alignment horizontal="center" vertical="center" wrapText="1"/>
      <protection/>
    </xf>
    <xf numFmtId="0" fontId="161" fillId="0" borderId="0" xfId="0" applyFont="1" applyAlignment="1">
      <alignment horizontal="center" vertical="center" wrapText="1"/>
    </xf>
    <xf numFmtId="0" fontId="143" fillId="0" borderId="64" xfId="2078" applyFont="1" applyBorder="1" applyAlignment="1">
      <alignment horizontal="center" vertical="center" wrapText="1"/>
      <protection/>
    </xf>
    <xf numFmtId="0" fontId="143" fillId="0" borderId="63" xfId="2078" applyFont="1" applyBorder="1" applyAlignment="1">
      <alignment horizontal="center" vertical="center" wrapText="1"/>
      <protection/>
    </xf>
    <xf numFmtId="0" fontId="143" fillId="60" borderId="64" xfId="2078" applyFont="1" applyFill="1" applyBorder="1" applyAlignment="1">
      <alignment horizontal="center" vertical="center" wrapText="1"/>
      <protection/>
    </xf>
    <xf numFmtId="0" fontId="143" fillId="60" borderId="63" xfId="2078" applyFont="1" applyFill="1" applyBorder="1" applyAlignment="1">
      <alignment horizontal="center" vertical="center" wrapText="1"/>
      <protection/>
    </xf>
    <xf numFmtId="0" fontId="146" fillId="0" borderId="64" xfId="2078" applyFont="1" applyBorder="1" applyAlignment="1">
      <alignment horizontal="center" vertical="center" wrapText="1"/>
      <protection/>
    </xf>
    <xf numFmtId="0" fontId="146" fillId="0" borderId="75" xfId="2078" applyFont="1" applyBorder="1" applyAlignment="1">
      <alignment horizontal="center" vertical="center" wrapText="1"/>
      <protection/>
    </xf>
    <xf numFmtId="0" fontId="160" fillId="15" borderId="64" xfId="2078" applyFont="1" applyFill="1" applyBorder="1" applyAlignment="1">
      <alignment horizontal="center" vertical="center" wrapText="1"/>
      <protection/>
    </xf>
    <xf numFmtId="0" fontId="160" fillId="15" borderId="75" xfId="2078" applyFont="1" applyFill="1" applyBorder="1" applyAlignment="1">
      <alignment horizontal="center" vertical="center" wrapText="1"/>
      <protection/>
    </xf>
    <xf numFmtId="2" fontId="145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38" fillId="0" borderId="0" xfId="919" applyFont="1" applyAlignment="1">
      <alignment horizontal="center" vertical="center" wrapText="1"/>
      <protection/>
    </xf>
    <xf numFmtId="2" fontId="147" fillId="59" borderId="31" xfId="1507" applyNumberFormat="1" applyFont="1" applyFill="1" applyBorder="1" applyAlignment="1">
      <alignment horizontal="center" vertical="center" wrapText="1"/>
      <protection/>
    </xf>
    <xf numFmtId="2" fontId="147" fillId="59" borderId="97" xfId="1507" applyNumberFormat="1" applyFont="1" applyFill="1" applyBorder="1" applyAlignment="1">
      <alignment horizontal="center" vertical="center" wrapText="1"/>
      <protection/>
    </xf>
    <xf numFmtId="2" fontId="147" fillId="59" borderId="66" xfId="1507" applyNumberFormat="1" applyFont="1" applyFill="1" applyBorder="1" applyAlignment="1">
      <alignment horizontal="center" vertical="center" wrapText="1"/>
      <protection/>
    </xf>
    <xf numFmtId="2" fontId="162" fillId="59" borderId="64" xfId="1507" applyNumberFormat="1" applyFont="1" applyFill="1" applyBorder="1" applyAlignment="1">
      <alignment horizontal="center" vertical="center" wrapText="1"/>
      <protection/>
    </xf>
    <xf numFmtId="2" fontId="162" fillId="59" borderId="63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85"/>
  <sheetViews>
    <sheetView view="pageBreakPreview" zoomScale="90" zoomScaleSheetLayoutView="90" zoomScalePageLayoutView="0" workbookViewId="0" topLeftCell="A1">
      <selection activeCell="M8" sqref="M8"/>
    </sheetView>
  </sheetViews>
  <sheetFormatPr defaultColWidth="9.140625" defaultRowHeight="12.75"/>
  <cols>
    <col min="1" max="1" width="51.00390625" style="231" customWidth="1"/>
    <col min="2" max="2" width="12.57421875" style="231" customWidth="1"/>
    <col min="3" max="3" width="18.00390625" style="316" customWidth="1"/>
    <col min="4" max="4" width="14.00390625" style="316" customWidth="1"/>
    <col min="5" max="5" width="13.7109375" style="317" customWidth="1"/>
    <col min="6" max="7" width="12.28125" style="231" bestFit="1" customWidth="1"/>
    <col min="8" max="8" width="10.421875" style="231" bestFit="1" customWidth="1"/>
    <col min="9" max="16384" width="9.140625" style="231" customWidth="1"/>
  </cols>
  <sheetData>
    <row r="1" spans="3:5" ht="18.75" customHeight="1">
      <c r="C1" s="577" t="s">
        <v>112</v>
      </c>
      <c r="D1" s="577"/>
      <c r="E1" s="577"/>
    </row>
    <row r="2" spans="3:5" ht="18.75" customHeight="1">
      <c r="C2" s="577" t="s">
        <v>113</v>
      </c>
      <c r="D2" s="577"/>
      <c r="E2" s="577"/>
    </row>
    <row r="3" spans="3:5" ht="21" customHeight="1">
      <c r="C3" s="577" t="s">
        <v>479</v>
      </c>
      <c r="D3" s="577"/>
      <c r="E3" s="577"/>
    </row>
    <row r="4" spans="3:5" ht="21" customHeight="1">
      <c r="C4" s="583"/>
      <c r="D4" s="583"/>
      <c r="E4" s="583"/>
    </row>
    <row r="5" spans="1:5" ht="51" customHeight="1">
      <c r="A5" s="584" t="s">
        <v>481</v>
      </c>
      <c r="B5" s="584"/>
      <c r="C5" s="584"/>
      <c r="D5" s="584"/>
      <c r="E5" s="584"/>
    </row>
    <row r="6" spans="1:5" ht="23.25" customHeight="1">
      <c r="A6" s="425"/>
      <c r="B6" s="425"/>
      <c r="C6" s="425"/>
      <c r="D6" s="425"/>
      <c r="E6" s="471" t="s">
        <v>300</v>
      </c>
    </row>
    <row r="7" spans="1:5" ht="21.75" customHeight="1">
      <c r="A7" s="578" t="s">
        <v>302</v>
      </c>
      <c r="B7" s="578"/>
      <c r="C7" s="578"/>
      <c r="D7" s="578"/>
      <c r="E7" s="578"/>
    </row>
    <row r="8" spans="1:5" ht="12" customHeight="1" thickBot="1">
      <c r="A8" s="582"/>
      <c r="B8" s="582"/>
      <c r="C8" s="582"/>
      <c r="D8" s="582"/>
      <c r="E8" s="582"/>
    </row>
    <row r="9" spans="1:5" ht="20.25" customHeight="1">
      <c r="A9" s="579" t="s">
        <v>4</v>
      </c>
      <c r="B9" s="591" t="s">
        <v>109</v>
      </c>
      <c r="C9" s="585" t="s">
        <v>198</v>
      </c>
      <c r="D9" s="585"/>
      <c r="E9" s="586"/>
    </row>
    <row r="10" spans="1:5" ht="25.5" customHeight="1">
      <c r="A10" s="580"/>
      <c r="B10" s="592"/>
      <c r="C10" s="587" t="s">
        <v>199</v>
      </c>
      <c r="D10" s="575" t="s">
        <v>45</v>
      </c>
      <c r="E10" s="589" t="s">
        <v>46</v>
      </c>
    </row>
    <row r="11" spans="1:5" ht="18" customHeight="1" thickBot="1">
      <c r="A11" s="581"/>
      <c r="B11" s="593"/>
      <c r="C11" s="588"/>
      <c r="D11" s="576"/>
      <c r="E11" s="590"/>
    </row>
    <row r="12" spans="1:5" ht="21" customHeight="1" thickBot="1">
      <c r="A12" s="568" t="s">
        <v>253</v>
      </c>
      <c r="B12" s="569"/>
      <c r="C12" s="569"/>
      <c r="D12" s="569"/>
      <c r="E12" s="569"/>
    </row>
    <row r="13" spans="1:17" ht="16.5" customHeight="1">
      <c r="A13" s="299" t="s">
        <v>407</v>
      </c>
      <c r="B13" s="298">
        <f>ROUND(C13+D13+E13*2.9,0)</f>
        <v>23207</v>
      </c>
      <c r="C13" s="503">
        <v>4745</v>
      </c>
      <c r="D13" s="482">
        <v>894</v>
      </c>
      <c r="E13" s="483">
        <v>6058</v>
      </c>
      <c r="O13" s="232"/>
      <c r="P13" s="232"/>
      <c r="Q13" s="232"/>
    </row>
    <row r="14" spans="1:17" s="525" customFormat="1" ht="16.5" customHeight="1">
      <c r="A14" s="533" t="s">
        <v>441</v>
      </c>
      <c r="B14" s="522">
        <f>ROUND(C14+D14+E14*2.9,0)</f>
        <v>1151</v>
      </c>
      <c r="C14" s="534">
        <f>'1.2. Диспансерное наблюдение'!E9</f>
        <v>1151</v>
      </c>
      <c r="D14" s="523"/>
      <c r="E14" s="524"/>
      <c r="G14" s="231"/>
      <c r="O14" s="526"/>
      <c r="P14" s="526"/>
      <c r="Q14" s="526"/>
    </row>
    <row r="15" spans="1:17" ht="16.5" customHeight="1">
      <c r="A15" s="300" t="s">
        <v>47</v>
      </c>
      <c r="B15" s="246">
        <f aca="true" t="shared" si="0" ref="B15:B24">ROUND(C15+D15+E15*2.9,0)</f>
        <v>12489</v>
      </c>
      <c r="C15" s="382">
        <v>3096</v>
      </c>
      <c r="D15" s="370">
        <v>484</v>
      </c>
      <c r="E15" s="371">
        <v>3072</v>
      </c>
      <c r="I15" s="363"/>
      <c r="O15" s="232"/>
      <c r="P15" s="232"/>
      <c r="Q15" s="232"/>
    </row>
    <row r="16" spans="1:17" ht="16.5" customHeight="1">
      <c r="A16" s="235" t="s">
        <v>410</v>
      </c>
      <c r="B16" s="246">
        <f t="shared" si="0"/>
        <v>3727</v>
      </c>
      <c r="C16" s="382">
        <v>925</v>
      </c>
      <c r="D16" s="370">
        <v>50</v>
      </c>
      <c r="E16" s="371">
        <v>949</v>
      </c>
      <c r="I16" s="363"/>
      <c r="O16" s="232"/>
      <c r="P16" s="232"/>
      <c r="Q16" s="232"/>
    </row>
    <row r="17" spans="1:17" ht="16.5" customHeight="1">
      <c r="A17" s="533" t="s">
        <v>441</v>
      </c>
      <c r="B17" s="522">
        <f t="shared" si="0"/>
        <v>90</v>
      </c>
      <c r="C17" s="534">
        <f>'1.2. Диспансерное наблюдение'!E12</f>
        <v>90</v>
      </c>
      <c r="D17" s="523"/>
      <c r="E17" s="524"/>
      <c r="I17" s="363"/>
      <c r="O17" s="232"/>
      <c r="P17" s="232"/>
      <c r="Q17" s="232"/>
    </row>
    <row r="18" spans="1:17" ht="16.5" customHeight="1">
      <c r="A18" s="234" t="s">
        <v>40</v>
      </c>
      <c r="B18" s="246">
        <f t="shared" si="0"/>
        <v>586</v>
      </c>
      <c r="C18" s="369">
        <v>395</v>
      </c>
      <c r="D18" s="370">
        <v>0</v>
      </c>
      <c r="E18" s="371">
        <v>66</v>
      </c>
      <c r="I18" s="363"/>
      <c r="O18" s="232"/>
      <c r="P18" s="232"/>
      <c r="Q18" s="232"/>
    </row>
    <row r="19" spans="1:17" ht="16.5" customHeight="1">
      <c r="A19" s="235" t="s">
        <v>8</v>
      </c>
      <c r="B19" s="233">
        <f t="shared" si="0"/>
        <v>462</v>
      </c>
      <c r="C19" s="369">
        <v>215</v>
      </c>
      <c r="D19" s="370">
        <v>0</v>
      </c>
      <c r="E19" s="371">
        <v>85</v>
      </c>
      <c r="I19" s="363"/>
      <c r="O19" s="232"/>
      <c r="P19" s="232"/>
      <c r="Q19" s="232"/>
    </row>
    <row r="20" spans="1:17" ht="16.5" customHeight="1">
      <c r="A20" s="236" t="s">
        <v>77</v>
      </c>
      <c r="B20" s="233">
        <f t="shared" si="0"/>
        <v>0</v>
      </c>
      <c r="C20" s="369"/>
      <c r="D20" s="484"/>
      <c r="E20" s="485"/>
      <c r="I20" s="363"/>
      <c r="O20" s="232"/>
      <c r="P20" s="232"/>
      <c r="Q20" s="232"/>
    </row>
    <row r="21" spans="1:17" ht="16.5" customHeight="1">
      <c r="A21" s="236" t="s">
        <v>9</v>
      </c>
      <c r="B21" s="233">
        <f t="shared" si="0"/>
        <v>1975</v>
      </c>
      <c r="C21" s="369">
        <v>490</v>
      </c>
      <c r="D21" s="484">
        <v>0</v>
      </c>
      <c r="E21" s="485">
        <v>512</v>
      </c>
      <c r="I21" s="363"/>
      <c r="O21" s="232"/>
      <c r="P21" s="232"/>
      <c r="Q21" s="232"/>
    </row>
    <row r="22" spans="1:17" ht="16.5" customHeight="1">
      <c r="A22" s="236" t="s">
        <v>409</v>
      </c>
      <c r="B22" s="233">
        <f t="shared" si="0"/>
        <v>6342</v>
      </c>
      <c r="C22" s="369">
        <v>1573</v>
      </c>
      <c r="D22" s="484">
        <v>245</v>
      </c>
      <c r="E22" s="485">
        <v>1560</v>
      </c>
      <c r="I22" s="363"/>
      <c r="O22" s="232"/>
      <c r="P22" s="232"/>
      <c r="Q22" s="232"/>
    </row>
    <row r="23" spans="1:17" s="538" customFormat="1" ht="16.5" customHeight="1">
      <c r="A23" s="533" t="s">
        <v>441</v>
      </c>
      <c r="B23" s="522">
        <f t="shared" si="0"/>
        <v>438</v>
      </c>
      <c r="C23" s="535">
        <f>'1.2. Диспансерное наблюдение'!E11</f>
        <v>438</v>
      </c>
      <c r="D23" s="536"/>
      <c r="E23" s="537"/>
      <c r="G23" s="231"/>
      <c r="I23" s="539"/>
      <c r="O23" s="362"/>
      <c r="P23" s="362"/>
      <c r="Q23" s="362"/>
    </row>
    <row r="24" spans="1:17" ht="16.5" customHeight="1">
      <c r="A24" s="237" t="s">
        <v>10</v>
      </c>
      <c r="B24" s="233">
        <f t="shared" si="0"/>
        <v>987</v>
      </c>
      <c r="C24" s="369">
        <v>245</v>
      </c>
      <c r="D24" s="484">
        <v>0</v>
      </c>
      <c r="E24" s="485">
        <v>256</v>
      </c>
      <c r="I24" s="363"/>
      <c r="O24" s="232"/>
      <c r="P24" s="232"/>
      <c r="Q24" s="232"/>
    </row>
    <row r="25" spans="1:17" ht="16.5" customHeight="1">
      <c r="A25" s="245" t="s">
        <v>379</v>
      </c>
      <c r="B25" s="233">
        <f>ROUND(C25+D25+E25*2.9,0)</f>
        <v>74113</v>
      </c>
      <c r="C25" s="369">
        <v>18379</v>
      </c>
      <c r="D25" s="484">
        <v>3198</v>
      </c>
      <c r="E25" s="485">
        <v>18116</v>
      </c>
      <c r="F25" s="232"/>
      <c r="H25" s="232"/>
      <c r="I25" s="363"/>
      <c r="O25" s="232"/>
      <c r="P25" s="232"/>
      <c r="Q25" s="232"/>
    </row>
    <row r="26" spans="1:17" ht="30">
      <c r="A26" s="270" t="s">
        <v>418</v>
      </c>
      <c r="B26" s="271">
        <f aca="true" t="shared" si="1" ref="B26:B45">ROUND(C26+D26+E26*2.9,0)</f>
        <v>7831</v>
      </c>
      <c r="C26" s="375">
        <f>SUM(C27:C29)</f>
        <v>7831</v>
      </c>
      <c r="D26" s="376"/>
      <c r="E26" s="377"/>
      <c r="I26" s="363"/>
      <c r="O26" s="232"/>
      <c r="P26" s="232"/>
      <c r="Q26" s="232"/>
    </row>
    <row r="27" spans="1:17" ht="30">
      <c r="A27" s="270" t="s">
        <v>148</v>
      </c>
      <c r="B27" s="271">
        <f t="shared" si="1"/>
        <v>116</v>
      </c>
      <c r="C27" s="375">
        <f>'1.1. ПРОФ.МЕРОПРИЯТИЯ'!C12</f>
        <v>116</v>
      </c>
      <c r="D27" s="376"/>
      <c r="E27" s="377"/>
      <c r="I27" s="363"/>
      <c r="O27" s="232"/>
      <c r="P27" s="232"/>
      <c r="Q27" s="232"/>
    </row>
    <row r="28" spans="1:17" ht="29.25" customHeight="1">
      <c r="A28" s="270" t="s">
        <v>149</v>
      </c>
      <c r="B28" s="271">
        <f t="shared" si="1"/>
        <v>205</v>
      </c>
      <c r="C28" s="375">
        <f>'1.1. ПРОФ.МЕРОПРИЯТИЯ'!D12</f>
        <v>205</v>
      </c>
      <c r="D28" s="376"/>
      <c r="E28" s="377"/>
      <c r="I28" s="363"/>
      <c r="O28" s="232"/>
      <c r="P28" s="232"/>
      <c r="Q28" s="232"/>
    </row>
    <row r="29" spans="1:17" ht="28.5" customHeight="1">
      <c r="A29" s="270" t="s">
        <v>150</v>
      </c>
      <c r="B29" s="271">
        <f t="shared" si="1"/>
        <v>7510</v>
      </c>
      <c r="C29" s="375">
        <f>'1.1. ПРОФ.МЕРОПРИЯТИЯ'!H12</f>
        <v>7510</v>
      </c>
      <c r="D29" s="376"/>
      <c r="E29" s="377"/>
      <c r="I29" s="363"/>
      <c r="O29" s="232"/>
      <c r="P29" s="232"/>
      <c r="Q29" s="232"/>
    </row>
    <row r="30" spans="1:17" ht="17.25" customHeight="1">
      <c r="A30" s="236" t="s">
        <v>11</v>
      </c>
      <c r="B30" s="233">
        <f t="shared" si="1"/>
        <v>989</v>
      </c>
      <c r="C30" s="369">
        <v>600</v>
      </c>
      <c r="D30" s="484">
        <v>0</v>
      </c>
      <c r="E30" s="485">
        <v>134</v>
      </c>
      <c r="I30" s="363"/>
      <c r="O30" s="232"/>
      <c r="P30" s="232"/>
      <c r="Q30" s="232"/>
    </row>
    <row r="31" spans="1:17" ht="17.25" customHeight="1">
      <c r="A31" s="236" t="s">
        <v>5</v>
      </c>
      <c r="B31" s="233">
        <f t="shared" si="1"/>
        <v>5610</v>
      </c>
      <c r="C31" s="369">
        <v>1391</v>
      </c>
      <c r="D31" s="484">
        <v>104</v>
      </c>
      <c r="E31" s="485">
        <v>1419</v>
      </c>
      <c r="I31" s="363"/>
      <c r="O31" s="232"/>
      <c r="P31" s="232"/>
      <c r="Q31" s="232"/>
    </row>
    <row r="32" spans="1:17" ht="17.25" customHeight="1">
      <c r="A32" s="533" t="s">
        <v>374</v>
      </c>
      <c r="B32" s="522">
        <f>ROUND(C32+D32+E32*2.9,0)</f>
        <v>336</v>
      </c>
      <c r="C32" s="535">
        <f>'1.2. Диспансерное наблюдение'!E21</f>
        <v>336</v>
      </c>
      <c r="D32" s="536"/>
      <c r="E32" s="537"/>
      <c r="I32" s="363"/>
      <c r="O32" s="232"/>
      <c r="P32" s="232"/>
      <c r="Q32" s="232"/>
    </row>
    <row r="33" spans="1:17" ht="17.25" customHeight="1">
      <c r="A33" s="237" t="s">
        <v>111</v>
      </c>
      <c r="B33" s="233">
        <f t="shared" si="1"/>
        <v>987</v>
      </c>
      <c r="C33" s="369">
        <v>245</v>
      </c>
      <c r="D33" s="484">
        <v>0</v>
      </c>
      <c r="E33" s="485">
        <v>256</v>
      </c>
      <c r="I33" s="363"/>
      <c r="O33" s="232"/>
      <c r="P33" s="232"/>
      <c r="Q33" s="232"/>
    </row>
    <row r="34" spans="1:17" ht="17.25" customHeight="1">
      <c r="A34" s="236" t="s">
        <v>411</v>
      </c>
      <c r="B34" s="233">
        <f>ROUND(C34+D34+E34*2.9,0)</f>
        <v>15991</v>
      </c>
      <c r="C34" s="369">
        <v>3963</v>
      </c>
      <c r="D34" s="484">
        <v>616</v>
      </c>
      <c r="E34" s="485">
        <v>3935</v>
      </c>
      <c r="H34" s="232"/>
      <c r="I34" s="363"/>
      <c r="O34" s="232"/>
      <c r="P34" s="232"/>
      <c r="Q34" s="232"/>
    </row>
    <row r="35" spans="1:17" ht="17.25" customHeight="1">
      <c r="A35" s="533" t="s">
        <v>441</v>
      </c>
      <c r="B35" s="522">
        <f t="shared" si="1"/>
        <v>1443</v>
      </c>
      <c r="C35" s="535">
        <f>'1.2. Диспансерное наблюдение'!E13</f>
        <v>1443</v>
      </c>
      <c r="D35" s="536"/>
      <c r="E35" s="537"/>
      <c r="H35" s="232"/>
      <c r="I35" s="363"/>
      <c r="O35" s="232"/>
      <c r="P35" s="232"/>
      <c r="Q35" s="232"/>
    </row>
    <row r="36" spans="1:17" ht="17.25" customHeight="1">
      <c r="A36" s="236" t="s">
        <v>417</v>
      </c>
      <c r="B36" s="233">
        <f t="shared" si="1"/>
        <v>27129</v>
      </c>
      <c r="C36" s="369">
        <v>6724</v>
      </c>
      <c r="D36" s="484">
        <v>1050</v>
      </c>
      <c r="E36" s="485">
        <v>6674</v>
      </c>
      <c r="H36" s="232"/>
      <c r="I36" s="363"/>
      <c r="O36" s="232"/>
      <c r="P36" s="232"/>
      <c r="Q36" s="232"/>
    </row>
    <row r="37" spans="1:17" ht="17.25" customHeight="1">
      <c r="A37" s="533" t="s">
        <v>441</v>
      </c>
      <c r="B37" s="522">
        <f>ROUND(C37+D37+E37*2.9,0)</f>
        <v>635</v>
      </c>
      <c r="C37" s="535">
        <f>'1.2. Диспансерное наблюдение'!E20</f>
        <v>635</v>
      </c>
      <c r="D37" s="536"/>
      <c r="E37" s="537"/>
      <c r="H37" s="232"/>
      <c r="I37" s="363"/>
      <c r="O37" s="232"/>
      <c r="P37" s="232"/>
      <c r="Q37" s="232"/>
    </row>
    <row r="38" spans="1:17" ht="17.25" customHeight="1">
      <c r="A38" s="237" t="s">
        <v>415</v>
      </c>
      <c r="B38" s="233">
        <f t="shared" si="1"/>
        <v>6033</v>
      </c>
      <c r="C38" s="369">
        <v>1496</v>
      </c>
      <c r="D38" s="484">
        <v>233</v>
      </c>
      <c r="E38" s="485">
        <v>1484</v>
      </c>
      <c r="H38" s="232"/>
      <c r="I38" s="363"/>
      <c r="O38" s="232"/>
      <c r="P38" s="232"/>
      <c r="Q38" s="232"/>
    </row>
    <row r="39" spans="1:17" ht="17.25" customHeight="1">
      <c r="A39" s="533" t="s">
        <v>441</v>
      </c>
      <c r="B39" s="522">
        <f t="shared" si="1"/>
        <v>36</v>
      </c>
      <c r="C39" s="535">
        <f>'1.2. Диспансерное наблюдение'!E18</f>
        <v>36</v>
      </c>
      <c r="D39" s="484"/>
      <c r="E39" s="485"/>
      <c r="H39" s="232"/>
      <c r="I39" s="363"/>
      <c r="O39" s="232"/>
      <c r="P39" s="232"/>
      <c r="Q39" s="232"/>
    </row>
    <row r="40" spans="1:17" ht="17.25" customHeight="1">
      <c r="A40" s="237" t="s">
        <v>380</v>
      </c>
      <c r="B40" s="233">
        <f t="shared" si="1"/>
        <v>82348</v>
      </c>
      <c r="C40" s="369">
        <v>25764</v>
      </c>
      <c r="D40" s="484">
        <v>3178</v>
      </c>
      <c r="E40" s="485">
        <v>18416</v>
      </c>
      <c r="F40" s="232"/>
      <c r="H40" s="232"/>
      <c r="I40" s="363"/>
      <c r="O40" s="232"/>
      <c r="P40" s="232"/>
      <c r="Q40" s="232"/>
    </row>
    <row r="41" spans="1:17" ht="34.5" customHeight="1">
      <c r="A41" s="270" t="s">
        <v>418</v>
      </c>
      <c r="B41" s="271">
        <f t="shared" si="1"/>
        <v>16821</v>
      </c>
      <c r="C41" s="375">
        <f>C42+C44</f>
        <v>16821</v>
      </c>
      <c r="D41" s="376">
        <v>0</v>
      </c>
      <c r="E41" s="377">
        <v>0</v>
      </c>
      <c r="I41" s="363"/>
      <c r="O41" s="232"/>
      <c r="P41" s="232"/>
      <c r="Q41" s="232"/>
    </row>
    <row r="42" spans="1:17" ht="30">
      <c r="A42" s="270" t="s">
        <v>382</v>
      </c>
      <c r="B42" s="271">
        <f t="shared" si="1"/>
        <v>13781</v>
      </c>
      <c r="C42" s="375">
        <f>'1.1. ПРОФ.МЕРОПРИЯТИЯ'!E12</f>
        <v>13781</v>
      </c>
      <c r="D42" s="376"/>
      <c r="E42" s="377"/>
      <c r="I42" s="363"/>
      <c r="O42" s="232"/>
      <c r="P42" s="232"/>
      <c r="Q42" s="232"/>
    </row>
    <row r="43" spans="1:17" ht="15">
      <c r="A43" s="270" t="s">
        <v>381</v>
      </c>
      <c r="B43" s="271">
        <f t="shared" si="1"/>
        <v>946</v>
      </c>
      <c r="C43" s="375">
        <f>'1.1. ПРОФ.МЕРОПРИЯТИЯ'!F12</f>
        <v>946</v>
      </c>
      <c r="D43" s="376"/>
      <c r="E43" s="377"/>
      <c r="I43" s="363"/>
      <c r="O43" s="232"/>
      <c r="P43" s="232"/>
      <c r="Q43" s="232"/>
    </row>
    <row r="44" spans="1:17" ht="30">
      <c r="A44" s="270" t="s">
        <v>206</v>
      </c>
      <c r="B44" s="271">
        <f t="shared" si="1"/>
        <v>3040</v>
      </c>
      <c r="C44" s="375">
        <f>'1.1. ПРОФ.МЕРОПРИЯТИЯ'!I12</f>
        <v>3040</v>
      </c>
      <c r="D44" s="376"/>
      <c r="E44" s="377"/>
      <c r="I44" s="363"/>
      <c r="O44" s="232"/>
      <c r="P44" s="232"/>
      <c r="Q44" s="232"/>
    </row>
    <row r="45" spans="1:17" ht="15">
      <c r="A45" s="533" t="s">
        <v>419</v>
      </c>
      <c r="B45" s="522">
        <f t="shared" si="1"/>
        <v>8235</v>
      </c>
      <c r="C45" s="375">
        <f>'1.2. Диспансерное наблюдение'!E17</f>
        <v>8235</v>
      </c>
      <c r="D45" s="376"/>
      <c r="E45" s="377"/>
      <c r="I45" s="363"/>
      <c r="O45" s="232"/>
      <c r="P45" s="232"/>
      <c r="Q45" s="232"/>
    </row>
    <row r="46" spans="1:17" ht="15.75" customHeight="1">
      <c r="A46" s="237" t="s">
        <v>12</v>
      </c>
      <c r="B46" s="233">
        <f aca="true" t="shared" si="2" ref="B46:B60">ROUND(C46+D46+E46*2.9,0)</f>
        <v>1221</v>
      </c>
      <c r="C46" s="369">
        <v>303</v>
      </c>
      <c r="D46" s="484">
        <v>2</v>
      </c>
      <c r="E46" s="485">
        <v>316</v>
      </c>
      <c r="I46" s="363"/>
      <c r="O46" s="232"/>
      <c r="P46" s="232"/>
      <c r="Q46" s="232"/>
    </row>
    <row r="47" spans="1:17" ht="15.75" customHeight="1">
      <c r="A47" s="237" t="s">
        <v>1</v>
      </c>
      <c r="B47" s="233">
        <f t="shared" si="2"/>
        <v>1457</v>
      </c>
      <c r="C47" s="369">
        <v>361</v>
      </c>
      <c r="D47" s="484">
        <v>0</v>
      </c>
      <c r="E47" s="485">
        <v>378</v>
      </c>
      <c r="H47" s="239"/>
      <c r="I47" s="363"/>
      <c r="O47" s="232"/>
      <c r="P47" s="232"/>
      <c r="Q47" s="232"/>
    </row>
    <row r="48" spans="1:17" ht="15.75" customHeight="1">
      <c r="A48" s="237" t="s">
        <v>412</v>
      </c>
      <c r="B48" s="233">
        <f t="shared" si="2"/>
        <v>6148</v>
      </c>
      <c r="C48" s="369">
        <v>1526</v>
      </c>
      <c r="D48" s="484">
        <v>237</v>
      </c>
      <c r="E48" s="485">
        <v>1512</v>
      </c>
      <c r="H48" s="239"/>
      <c r="I48" s="363"/>
      <c r="O48" s="232"/>
      <c r="P48" s="232"/>
      <c r="Q48" s="232"/>
    </row>
    <row r="49" spans="1:17" ht="15.75" customHeight="1">
      <c r="A49" s="533" t="s">
        <v>441</v>
      </c>
      <c r="B49" s="522">
        <f t="shared" si="2"/>
        <v>1343</v>
      </c>
      <c r="C49" s="534">
        <f>'1.2. Диспансерное наблюдение'!E14-'1.2. Диспансерное наблюдение'!F14</f>
        <v>1343</v>
      </c>
      <c r="D49" s="484"/>
      <c r="E49" s="485"/>
      <c r="H49" s="239"/>
      <c r="I49" s="363"/>
      <c r="O49" s="232"/>
      <c r="P49" s="232"/>
      <c r="Q49" s="232"/>
    </row>
    <row r="50" spans="1:17" ht="15.75" customHeight="1">
      <c r="A50" s="236" t="s">
        <v>413</v>
      </c>
      <c r="B50" s="233">
        <f>ROUND(C50+D50+E50*2.9,0)-1</f>
        <v>12534</v>
      </c>
      <c r="C50" s="369">
        <v>3107</v>
      </c>
      <c r="D50" s="484">
        <v>484</v>
      </c>
      <c r="E50" s="485">
        <v>3084</v>
      </c>
      <c r="H50" s="240"/>
      <c r="I50" s="363"/>
      <c r="O50" s="232"/>
      <c r="P50" s="232"/>
      <c r="Q50" s="232"/>
    </row>
    <row r="51" spans="1:17" ht="15.75" customHeight="1">
      <c r="A51" s="533" t="s">
        <v>441</v>
      </c>
      <c r="B51" s="522">
        <f>ROUND(C51+D51+E51*2.9,0)</f>
        <v>300</v>
      </c>
      <c r="C51" s="534">
        <f>'1.2. Диспансерное наблюдение'!E15</f>
        <v>300</v>
      </c>
      <c r="D51" s="484">
        <v>0</v>
      </c>
      <c r="E51" s="485"/>
      <c r="H51" s="240"/>
      <c r="I51" s="363"/>
      <c r="O51" s="232"/>
      <c r="P51" s="232"/>
      <c r="Q51" s="232"/>
    </row>
    <row r="52" spans="1:17" ht="15.75" customHeight="1">
      <c r="A52" s="236" t="s">
        <v>414</v>
      </c>
      <c r="B52" s="233">
        <f t="shared" si="2"/>
        <v>14378</v>
      </c>
      <c r="C52" s="369">
        <v>3566</v>
      </c>
      <c r="D52" s="484">
        <v>555</v>
      </c>
      <c r="E52" s="485">
        <v>3537</v>
      </c>
      <c r="H52" s="240"/>
      <c r="I52" s="363"/>
      <c r="O52" s="232"/>
      <c r="P52" s="232"/>
      <c r="Q52" s="232"/>
    </row>
    <row r="53" spans="1:17" ht="15.75" customHeight="1">
      <c r="A53" s="533" t="s">
        <v>441</v>
      </c>
      <c r="B53" s="522">
        <f>ROUND(C53+D53+E53*2.9,0)</f>
        <v>656</v>
      </c>
      <c r="C53" s="534">
        <f>'1.2. Диспансерное наблюдение'!E16</f>
        <v>656</v>
      </c>
      <c r="D53" s="484"/>
      <c r="E53" s="485"/>
      <c r="H53" s="240"/>
      <c r="I53" s="363"/>
      <c r="O53" s="232"/>
      <c r="P53" s="232"/>
      <c r="Q53" s="232"/>
    </row>
    <row r="54" spans="1:17" ht="15.75" customHeight="1">
      <c r="A54" s="236" t="s">
        <v>63</v>
      </c>
      <c r="B54" s="233">
        <f t="shared" si="2"/>
        <v>0</v>
      </c>
      <c r="C54" s="369"/>
      <c r="D54" s="484"/>
      <c r="E54" s="485"/>
      <c r="I54" s="363"/>
      <c r="O54" s="232"/>
      <c r="P54" s="232"/>
      <c r="Q54" s="232"/>
    </row>
    <row r="55" spans="1:17" ht="15.75" customHeight="1">
      <c r="A55" s="236" t="s">
        <v>408</v>
      </c>
      <c r="B55" s="233">
        <f t="shared" si="2"/>
        <v>11951</v>
      </c>
      <c r="C55" s="369">
        <v>2963</v>
      </c>
      <c r="D55" s="484">
        <v>462</v>
      </c>
      <c r="E55" s="485">
        <v>2940</v>
      </c>
      <c r="I55" s="363"/>
      <c r="O55" s="232"/>
      <c r="P55" s="232"/>
      <c r="Q55" s="232"/>
    </row>
    <row r="56" spans="1:17" ht="15.75" customHeight="1">
      <c r="A56" s="533" t="s">
        <v>441</v>
      </c>
      <c r="B56" s="522">
        <f t="shared" si="2"/>
        <v>406</v>
      </c>
      <c r="C56" s="534">
        <f>'1.2. Диспансерное наблюдение'!E10-'1.2. Диспансерное наблюдение'!G10</f>
        <v>406</v>
      </c>
      <c r="D56" s="523"/>
      <c r="E56" s="524"/>
      <c r="I56" s="363"/>
      <c r="O56" s="232"/>
      <c r="P56" s="232"/>
      <c r="Q56" s="232"/>
    </row>
    <row r="57" spans="1:17" ht="15.75" customHeight="1">
      <c r="A57" s="236" t="s">
        <v>35</v>
      </c>
      <c r="B57" s="233">
        <f t="shared" si="2"/>
        <v>40465</v>
      </c>
      <c r="C57" s="369">
        <v>9235</v>
      </c>
      <c r="D57" s="484">
        <v>1656</v>
      </c>
      <c r="E57" s="485">
        <v>10198</v>
      </c>
      <c r="I57" s="363"/>
      <c r="O57" s="232"/>
      <c r="P57" s="232"/>
      <c r="Q57" s="232"/>
    </row>
    <row r="58" spans="1:17" ht="15.75" customHeight="1">
      <c r="A58" s="236" t="s">
        <v>225</v>
      </c>
      <c r="B58" s="233">
        <f>ROUND(C58+D58+E58*2.9,0)</f>
        <v>5524</v>
      </c>
      <c r="C58" s="369">
        <v>1643</v>
      </c>
      <c r="D58" s="484">
        <v>540</v>
      </c>
      <c r="E58" s="485">
        <v>1152</v>
      </c>
      <c r="H58" s="232"/>
      <c r="I58" s="363"/>
      <c r="O58" s="232"/>
      <c r="P58" s="232"/>
      <c r="Q58" s="232"/>
    </row>
    <row r="59" spans="1:17" ht="15.75" customHeight="1">
      <c r="A59" s="236" t="s">
        <v>36</v>
      </c>
      <c r="B59" s="233">
        <f>ROUND(C59+D59+E59*2.9,0)-1</f>
        <v>15031</v>
      </c>
      <c r="C59" s="369">
        <v>4373</v>
      </c>
      <c r="D59" s="484">
        <v>851</v>
      </c>
      <c r="E59" s="485">
        <v>3382</v>
      </c>
      <c r="H59" s="232"/>
      <c r="I59" s="363"/>
      <c r="O59" s="232"/>
      <c r="P59" s="232"/>
      <c r="Q59" s="232"/>
    </row>
    <row r="60" spans="1:17" ht="15.75" customHeight="1" thickBot="1">
      <c r="A60" s="385" t="s">
        <v>247</v>
      </c>
      <c r="B60" s="233">
        <f t="shared" si="2"/>
        <v>0</v>
      </c>
      <c r="C60" s="372"/>
      <c r="D60" s="373"/>
      <c r="E60" s="374"/>
      <c r="H60" s="232"/>
      <c r="I60" s="363"/>
      <c r="O60" s="232"/>
      <c r="P60" s="232"/>
      <c r="Q60" s="232"/>
    </row>
    <row r="61" spans="1:17" ht="23.25" customHeight="1" thickBot="1">
      <c r="A61" s="414" t="s">
        <v>227</v>
      </c>
      <c r="B61" s="243">
        <f>B13+B15+B16+B18+B19+B20+B21+B22+B24+B25+B30+B31+B33+B34+B36+B38+B40+B46+B47+B48+B50+B52+B54+B55+B57+B58+B59+B60</f>
        <v>371684</v>
      </c>
      <c r="C61" s="243">
        <f>C13+C15+C16+C18+C19+C20+C21+C22+C24+C25+C30+C31+C33+C34+C36+C38+C40+C46+C47+C48+C50+C52+C54+C55+C57+C58+C59+C60</f>
        <v>97323</v>
      </c>
      <c r="D61" s="243">
        <f>D13+D15+D16+D18+D19+D20+D21+D22+D24+D25+D30+D31+D33+D34+D36+D38+D40+D46+D47+D48+D50+D52+D54+D55+D57+D58+D59+D60</f>
        <v>14839</v>
      </c>
      <c r="E61" s="243">
        <f>E13+E15+E16+E18+E19+E20+E21+E22+E24+E25+E30+E31+E33+E34+E36+E38+E40+E46+E47+E48+E50+E52+E54+E55+E57+E58+E59+E60</f>
        <v>89491</v>
      </c>
      <c r="F61" s="238"/>
      <c r="H61" s="238"/>
      <c r="I61" s="363"/>
      <c r="O61" s="232"/>
      <c r="P61" s="232"/>
      <c r="Q61" s="232"/>
    </row>
    <row r="62" spans="1:17" ht="16.5" customHeight="1" thickBot="1">
      <c r="A62" s="570" t="s">
        <v>57</v>
      </c>
      <c r="B62" s="571"/>
      <c r="C62" s="571"/>
      <c r="D62" s="571"/>
      <c r="E62" s="572"/>
      <c r="F62" s="238"/>
      <c r="H62" s="238"/>
      <c r="I62" s="363"/>
      <c r="O62" s="232"/>
      <c r="P62" s="232"/>
      <c r="Q62" s="232"/>
    </row>
    <row r="63" spans="1:17" ht="23.25" customHeight="1">
      <c r="A63" s="244" t="s">
        <v>290</v>
      </c>
      <c r="B63" s="233">
        <f>ROUND(C63+D63+E63*2.9,0)</f>
        <v>20481</v>
      </c>
      <c r="C63" s="367">
        <v>6030</v>
      </c>
      <c r="D63" s="367">
        <v>0</v>
      </c>
      <c r="E63" s="367">
        <v>4983</v>
      </c>
      <c r="F63" s="238"/>
      <c r="H63" s="238"/>
      <c r="I63" s="363"/>
      <c r="O63" s="232"/>
      <c r="P63" s="232"/>
      <c r="Q63" s="232"/>
    </row>
    <row r="64" spans="1:17" ht="17.25" customHeight="1" thickBot="1">
      <c r="A64" s="533" t="s">
        <v>441</v>
      </c>
      <c r="B64" s="522">
        <f>ROUND(C64+D64+E64*2.9,0)</f>
        <v>580</v>
      </c>
      <c r="C64" s="534">
        <f>'1.2. Диспансерное наблюдение'!G10</f>
        <v>580</v>
      </c>
      <c r="D64" s="523"/>
      <c r="E64" s="524"/>
      <c r="F64" s="238"/>
      <c r="H64" s="238"/>
      <c r="I64" s="363"/>
      <c r="O64" s="232"/>
      <c r="P64" s="232"/>
      <c r="Q64" s="232"/>
    </row>
    <row r="65" spans="1:17" ht="20.25" customHeight="1" hidden="1" thickBot="1">
      <c r="A65" s="415" t="s">
        <v>291</v>
      </c>
      <c r="B65" s="243"/>
      <c r="C65" s="243"/>
      <c r="D65" s="243"/>
      <c r="E65" s="243"/>
      <c r="F65" s="238"/>
      <c r="H65" s="238"/>
      <c r="I65" s="363"/>
      <c r="O65" s="232"/>
      <c r="P65" s="232"/>
      <c r="Q65" s="232"/>
    </row>
    <row r="66" spans="1:17" ht="23.25" customHeight="1" hidden="1">
      <c r="A66" s="244" t="s">
        <v>6</v>
      </c>
      <c r="B66" s="233">
        <f>ROUND(C66+D66+E66*2.9,0)</f>
        <v>0</v>
      </c>
      <c r="C66" s="367"/>
      <c r="D66" s="367"/>
      <c r="E66" s="367"/>
      <c r="F66" s="238"/>
      <c r="H66" s="238"/>
      <c r="I66" s="363"/>
      <c r="O66" s="232"/>
      <c r="P66" s="232"/>
      <c r="Q66" s="232"/>
    </row>
    <row r="67" spans="1:17" ht="23.25" customHeight="1" hidden="1" thickBot="1">
      <c r="A67" s="259" t="s">
        <v>38</v>
      </c>
      <c r="B67" s="233">
        <f>ROUND(C67+D67+E67*2.9,0)</f>
        <v>0</v>
      </c>
      <c r="C67" s="367"/>
      <c r="D67" s="367"/>
      <c r="E67" s="367"/>
      <c r="F67" s="238"/>
      <c r="H67" s="238"/>
      <c r="I67" s="363"/>
      <c r="O67" s="232"/>
      <c r="P67" s="232"/>
      <c r="Q67" s="232"/>
    </row>
    <row r="68" spans="1:17" ht="23.25" customHeight="1" hidden="1" thickBot="1">
      <c r="A68" s="241" t="s">
        <v>292</v>
      </c>
      <c r="B68" s="285">
        <f>B66+B67</f>
        <v>0</v>
      </c>
      <c r="C68" s="381">
        <f>C66+C67</f>
        <v>0</v>
      </c>
      <c r="D68" s="411"/>
      <c r="E68" s="412">
        <f>E66+E67</f>
        <v>0</v>
      </c>
      <c r="F68" s="238"/>
      <c r="H68" s="238"/>
      <c r="I68" s="363"/>
      <c r="O68" s="232"/>
      <c r="P68" s="232"/>
      <c r="Q68" s="232"/>
    </row>
    <row r="69" spans="1:17" ht="18.75" customHeight="1">
      <c r="A69" s="594" t="s">
        <v>226</v>
      </c>
      <c r="B69" s="595"/>
      <c r="C69" s="595"/>
      <c r="D69" s="595"/>
      <c r="E69" s="596"/>
      <c r="I69" s="363"/>
      <c r="O69" s="232"/>
      <c r="P69" s="232"/>
      <c r="Q69" s="232"/>
    </row>
    <row r="70" spans="1:17" ht="17.25" customHeight="1">
      <c r="A70" s="244" t="s">
        <v>412</v>
      </c>
      <c r="B70" s="233">
        <f>ROUND(C70+D70+E70*2.9,0)+1</f>
        <v>20378</v>
      </c>
      <c r="C70" s="367">
        <v>5053</v>
      </c>
      <c r="D70" s="367">
        <v>0</v>
      </c>
      <c r="E70" s="367">
        <v>5284</v>
      </c>
      <c r="I70" s="363"/>
      <c r="O70" s="232"/>
      <c r="P70" s="232"/>
      <c r="Q70" s="232"/>
    </row>
    <row r="71" spans="1:17" ht="17.25" customHeight="1">
      <c r="A71" s="533" t="s">
        <v>441</v>
      </c>
      <c r="B71" s="522">
        <f>ROUND(C71+D71+E71*2.9,0)</f>
        <v>1931</v>
      </c>
      <c r="C71" s="534">
        <f>'1.2. Диспансерное наблюдение'!F14</f>
        <v>1931</v>
      </c>
      <c r="D71" s="523"/>
      <c r="E71" s="524"/>
      <c r="I71" s="363"/>
      <c r="O71" s="232"/>
      <c r="P71" s="232"/>
      <c r="Q71" s="232"/>
    </row>
    <row r="72" spans="1:17" ht="18" customHeight="1">
      <c r="A72" s="259" t="s">
        <v>38</v>
      </c>
      <c r="B72" s="233">
        <f>ROUND(C72+D72+E72*2.9,0)+1</f>
        <v>3364</v>
      </c>
      <c r="C72" s="367">
        <v>834</v>
      </c>
      <c r="D72" s="367">
        <v>0</v>
      </c>
      <c r="E72" s="367">
        <v>872</v>
      </c>
      <c r="I72" s="363"/>
      <c r="O72" s="232"/>
      <c r="P72" s="232"/>
      <c r="Q72" s="232"/>
    </row>
    <row r="73" spans="1:17" ht="20.25" customHeight="1" thickBot="1">
      <c r="A73" s="282" t="s">
        <v>0</v>
      </c>
      <c r="B73" s="284">
        <f>ROUND(C73+D73+E73*2.9,0)</f>
        <v>930</v>
      </c>
      <c r="C73" s="372">
        <v>231</v>
      </c>
      <c r="D73" s="373">
        <v>0</v>
      </c>
      <c r="E73" s="374">
        <v>241</v>
      </c>
      <c r="I73" s="363"/>
      <c r="O73" s="232"/>
      <c r="P73" s="232"/>
      <c r="Q73" s="232"/>
    </row>
    <row r="74" spans="1:17" ht="15.75" thickBot="1">
      <c r="A74" s="241" t="s">
        <v>205</v>
      </c>
      <c r="B74" s="381">
        <f>B73+B72+B70</f>
        <v>24672</v>
      </c>
      <c r="C74" s="381">
        <f>C73+C72+C70</f>
        <v>6118</v>
      </c>
      <c r="D74" s="381">
        <f>D73+D72+D70</f>
        <v>0</v>
      </c>
      <c r="E74" s="381">
        <f>E73+E72+E70</f>
        <v>6397</v>
      </c>
      <c r="F74" s="232"/>
      <c r="G74" s="232"/>
      <c r="H74" s="232"/>
      <c r="I74" s="232"/>
      <c r="O74" s="232"/>
      <c r="P74" s="232"/>
      <c r="Q74" s="232"/>
    </row>
    <row r="75" spans="1:18" ht="15.75" thickBot="1">
      <c r="A75" s="241" t="s">
        <v>437</v>
      </c>
      <c r="B75" s="381">
        <f>B74+B61+B63</f>
        <v>416837</v>
      </c>
      <c r="C75" s="381">
        <f>C74+C61+C63</f>
        <v>109471</v>
      </c>
      <c r="D75" s="381">
        <f>D74+D61+D63</f>
        <v>14839</v>
      </c>
      <c r="E75" s="381">
        <f>E74+E61+E63</f>
        <v>100871</v>
      </c>
      <c r="F75" s="232"/>
      <c r="H75" s="232"/>
      <c r="I75" s="363"/>
      <c r="J75" s="232"/>
      <c r="L75" s="363"/>
      <c r="M75" s="363"/>
      <c r="N75" s="363"/>
      <c r="O75" s="361"/>
      <c r="P75" s="361"/>
      <c r="Q75" s="361"/>
      <c r="R75" s="363"/>
    </row>
    <row r="76" spans="1:18" ht="15.75" thickBot="1">
      <c r="A76" s="533" t="s">
        <v>374</v>
      </c>
      <c r="B76" s="522">
        <f>C76</f>
        <v>17580</v>
      </c>
      <c r="C76" s="362">
        <f>B14+B17+B23+B35+B37+B39+B45+B49+B51+B53+B56+B64+B71+B32</f>
        <v>17580</v>
      </c>
      <c r="D76" s="523"/>
      <c r="E76" s="524"/>
      <c r="F76" s="232"/>
      <c r="G76" s="232"/>
      <c r="H76" s="232"/>
      <c r="I76" s="363"/>
      <c r="J76" s="232"/>
      <c r="L76" s="363"/>
      <c r="M76" s="363"/>
      <c r="N76" s="363"/>
      <c r="O76" s="361"/>
      <c r="P76" s="361"/>
      <c r="Q76" s="361"/>
      <c r="R76" s="363"/>
    </row>
    <row r="77" spans="1:8" ht="19.5" customHeight="1" hidden="1" thickBot="1">
      <c r="A77" s="568"/>
      <c r="B77" s="569"/>
      <c r="C77" s="569"/>
      <c r="D77" s="569"/>
      <c r="E77" s="569"/>
      <c r="F77" s="232"/>
      <c r="H77" s="232"/>
    </row>
    <row r="78" spans="1:5" ht="19.5" customHeight="1" hidden="1">
      <c r="A78" s="286"/>
      <c r="B78" s="233"/>
      <c r="C78" s="318"/>
      <c r="D78" s="319"/>
      <c r="E78" s="320"/>
    </row>
    <row r="79" spans="1:6" ht="16.5" customHeight="1" hidden="1">
      <c r="A79" s="244"/>
      <c r="B79" s="233"/>
      <c r="C79" s="318"/>
      <c r="D79" s="319"/>
      <c r="E79" s="320"/>
      <c r="F79" s="247"/>
    </row>
    <row r="80" spans="1:6" ht="16.5" customHeight="1" hidden="1" thickBot="1">
      <c r="A80" s="282"/>
      <c r="B80" s="284"/>
      <c r="C80" s="335"/>
      <c r="D80" s="330"/>
      <c r="E80" s="331"/>
      <c r="F80" s="247"/>
    </row>
    <row r="81" spans="1:6" ht="16.5" customHeight="1" hidden="1" thickBot="1">
      <c r="A81" s="241"/>
      <c r="B81" s="285"/>
      <c r="C81" s="332"/>
      <c r="D81" s="333"/>
      <c r="E81" s="334"/>
      <c r="F81" s="247"/>
    </row>
    <row r="82" spans="1:6" ht="32.25" customHeight="1" hidden="1">
      <c r="A82" s="286"/>
      <c r="B82" s="233"/>
      <c r="C82" s="318"/>
      <c r="D82" s="319"/>
      <c r="E82" s="320"/>
      <c r="F82" s="247"/>
    </row>
    <row r="83" spans="1:6" ht="16.5" customHeight="1" hidden="1">
      <c r="A83" s="244"/>
      <c r="B83" s="233"/>
      <c r="C83" s="321"/>
      <c r="D83" s="322"/>
      <c r="E83" s="323"/>
      <c r="F83" s="247"/>
    </row>
    <row r="84" spans="1:6" ht="16.5" customHeight="1" hidden="1">
      <c r="A84" s="259"/>
      <c r="B84" s="233"/>
      <c r="C84" s="318"/>
      <c r="D84" s="319"/>
      <c r="E84" s="320"/>
      <c r="F84" s="247"/>
    </row>
    <row r="85" spans="1:6" ht="16.5" customHeight="1" hidden="1" thickBot="1">
      <c r="A85" s="282"/>
      <c r="B85" s="284"/>
      <c r="C85" s="329"/>
      <c r="D85" s="330"/>
      <c r="E85" s="331"/>
      <c r="F85" s="247"/>
    </row>
    <row r="86" spans="1:6" ht="16.5" customHeight="1" hidden="1" thickBot="1">
      <c r="A86" s="241"/>
      <c r="B86" s="285"/>
      <c r="C86" s="332"/>
      <c r="D86" s="333"/>
      <c r="E86" s="334"/>
      <c r="F86" s="247"/>
    </row>
    <row r="87" spans="1:6" ht="17.25" customHeight="1" hidden="1" thickBot="1">
      <c r="A87" s="241"/>
      <c r="B87" s="242"/>
      <c r="C87" s="327"/>
      <c r="D87" s="327"/>
      <c r="E87" s="328"/>
      <c r="F87" s="247"/>
    </row>
    <row r="88" spans="1:5" ht="30.75" customHeight="1" hidden="1" thickBot="1">
      <c r="A88" s="568"/>
      <c r="B88" s="569"/>
      <c r="C88" s="569"/>
      <c r="D88" s="569"/>
      <c r="E88" s="569"/>
    </row>
    <row r="89" spans="1:5" ht="15" hidden="1">
      <c r="A89" s="235"/>
      <c r="B89" s="233"/>
      <c r="C89" s="318"/>
      <c r="D89" s="319"/>
      <c r="E89" s="320"/>
    </row>
    <row r="90" spans="1:5" ht="22.5" customHeight="1" hidden="1" thickBot="1">
      <c r="A90" s="236"/>
      <c r="B90" s="233"/>
      <c r="C90" s="321"/>
      <c r="D90" s="319"/>
      <c r="E90" s="320"/>
    </row>
    <row r="91" spans="1:5" ht="15.75" hidden="1" thickBot="1">
      <c r="A91" s="241"/>
      <c r="B91" s="242"/>
      <c r="C91" s="327"/>
      <c r="D91" s="327"/>
      <c r="E91" s="328"/>
    </row>
    <row r="92" spans="1:8" ht="20.25" customHeight="1" thickBot="1">
      <c r="A92" s="568" t="s">
        <v>424</v>
      </c>
      <c r="B92" s="569"/>
      <c r="C92" s="569"/>
      <c r="D92" s="569"/>
      <c r="E92" s="569"/>
      <c r="F92" s="232"/>
      <c r="H92" s="232"/>
    </row>
    <row r="93" spans="1:17" ht="15">
      <c r="A93" s="245" t="s">
        <v>74</v>
      </c>
      <c r="B93" s="246">
        <f aca="true" t="shared" si="3" ref="B93:B111">ROUND(C93+D93+E93*2.9,0)</f>
        <v>1482</v>
      </c>
      <c r="C93" s="382">
        <v>682</v>
      </c>
      <c r="D93" s="370">
        <v>0</v>
      </c>
      <c r="E93" s="371">
        <v>276</v>
      </c>
      <c r="H93" s="232"/>
      <c r="O93" s="362"/>
      <c r="P93" s="362"/>
      <c r="Q93" s="362"/>
    </row>
    <row r="94" spans="1:17" ht="15">
      <c r="A94" s="245" t="s">
        <v>379</v>
      </c>
      <c r="B94" s="246">
        <f t="shared" si="3"/>
        <v>115602</v>
      </c>
      <c r="C94" s="369">
        <v>53176</v>
      </c>
      <c r="D94" s="370">
        <v>14811</v>
      </c>
      <c r="E94" s="371">
        <v>16419</v>
      </c>
      <c r="J94" s="363"/>
      <c r="K94" s="232"/>
      <c r="M94" s="232"/>
      <c r="O94" s="362"/>
      <c r="P94" s="362"/>
      <c r="Q94" s="362"/>
    </row>
    <row r="95" spans="1:17" s="272" customFormat="1" ht="30.75" customHeight="1">
      <c r="A95" s="270" t="s">
        <v>418</v>
      </c>
      <c r="B95" s="271">
        <f t="shared" si="3"/>
        <v>18735</v>
      </c>
      <c r="C95" s="375">
        <f>C96+C97+C98</f>
        <v>18735</v>
      </c>
      <c r="D95" s="375">
        <f>D96+D97+D98</f>
        <v>0</v>
      </c>
      <c r="E95" s="375">
        <f>E96+E97+E98</f>
        <v>0</v>
      </c>
      <c r="G95" s="231"/>
      <c r="H95" s="274"/>
      <c r="I95" s="273"/>
      <c r="J95" s="273"/>
      <c r="K95" s="273"/>
      <c r="M95" s="273"/>
      <c r="O95" s="362"/>
      <c r="P95" s="362"/>
      <c r="Q95" s="362"/>
    </row>
    <row r="96" spans="1:17" s="272" customFormat="1" ht="29.25" customHeight="1">
      <c r="A96" s="270" t="s">
        <v>148</v>
      </c>
      <c r="B96" s="271">
        <f t="shared" si="3"/>
        <v>134</v>
      </c>
      <c r="C96" s="375">
        <f>'1.1. ПРОФ.МЕРОПРИЯТИЯ'!C10</f>
        <v>134</v>
      </c>
      <c r="D96" s="376"/>
      <c r="E96" s="377"/>
      <c r="G96" s="231"/>
      <c r="H96" s="274"/>
      <c r="I96" s="273"/>
      <c r="J96" s="273"/>
      <c r="K96" s="273"/>
      <c r="M96" s="273"/>
      <c r="O96" s="362"/>
      <c r="P96" s="362"/>
      <c r="Q96" s="362"/>
    </row>
    <row r="97" spans="1:17" s="272" customFormat="1" ht="31.5" customHeight="1">
      <c r="A97" s="270" t="s">
        <v>149</v>
      </c>
      <c r="B97" s="271">
        <f t="shared" si="3"/>
        <v>100</v>
      </c>
      <c r="C97" s="375">
        <f>'1.1. ПРОФ.МЕРОПРИЯТИЯ'!D10</f>
        <v>100</v>
      </c>
      <c r="D97" s="376"/>
      <c r="E97" s="377"/>
      <c r="G97" s="231"/>
      <c r="H97" s="274"/>
      <c r="I97" s="273"/>
      <c r="J97" s="273"/>
      <c r="K97" s="273"/>
      <c r="M97" s="273"/>
      <c r="O97" s="362"/>
      <c r="P97" s="362"/>
      <c r="Q97" s="362"/>
    </row>
    <row r="98" spans="1:17" s="248" customFormat="1" ht="24.75" customHeight="1">
      <c r="A98" s="270" t="s">
        <v>150</v>
      </c>
      <c r="B98" s="271">
        <f t="shared" si="3"/>
        <v>18501</v>
      </c>
      <c r="C98" s="324">
        <f>'1.1. ПРОФ.МЕРОПРИЯТИЯ'!H10</f>
        <v>18501</v>
      </c>
      <c r="D98" s="325"/>
      <c r="E98" s="326"/>
      <c r="F98" s="249"/>
      <c r="G98" s="231"/>
      <c r="H98" s="250"/>
      <c r="I98" s="249"/>
      <c r="J98" s="249"/>
      <c r="K98" s="249"/>
      <c r="M98" s="249"/>
      <c r="O98" s="362"/>
      <c r="P98" s="362"/>
      <c r="Q98" s="362"/>
    </row>
    <row r="99" spans="1:17" ht="15" customHeight="1">
      <c r="A99" s="251" t="s">
        <v>8</v>
      </c>
      <c r="B99" s="233">
        <f t="shared" si="3"/>
        <v>467</v>
      </c>
      <c r="C99" s="369">
        <v>215</v>
      </c>
      <c r="D99" s="370">
        <v>0</v>
      </c>
      <c r="E99" s="371">
        <v>87</v>
      </c>
      <c r="O99" s="362"/>
      <c r="P99" s="362"/>
      <c r="Q99" s="362"/>
    </row>
    <row r="100" spans="1:17" ht="15" customHeight="1">
      <c r="A100" s="251" t="s">
        <v>79</v>
      </c>
      <c r="B100" s="233">
        <f t="shared" si="3"/>
        <v>1976</v>
      </c>
      <c r="C100" s="369">
        <v>909</v>
      </c>
      <c r="D100" s="370">
        <v>0</v>
      </c>
      <c r="E100" s="371">
        <v>368</v>
      </c>
      <c r="O100" s="362"/>
      <c r="P100" s="362"/>
      <c r="Q100" s="362"/>
    </row>
    <row r="101" spans="1:17" ht="15" customHeight="1">
      <c r="A101" s="251" t="s">
        <v>3</v>
      </c>
      <c r="B101" s="233">
        <f t="shared" si="3"/>
        <v>9783</v>
      </c>
      <c r="C101" s="369">
        <v>4500</v>
      </c>
      <c r="D101" s="370">
        <v>5</v>
      </c>
      <c r="E101" s="371">
        <v>1820</v>
      </c>
      <c r="O101" s="362"/>
      <c r="P101" s="362"/>
      <c r="Q101" s="362"/>
    </row>
    <row r="102" spans="1:17" ht="15" customHeight="1">
      <c r="A102" s="251" t="s">
        <v>459</v>
      </c>
      <c r="B102" s="233">
        <f>ROUND(C102+D102+E102*2.9,0)+1</f>
        <v>7264</v>
      </c>
      <c r="C102" s="369">
        <v>3341</v>
      </c>
      <c r="D102" s="370">
        <v>1382</v>
      </c>
      <c r="E102" s="371">
        <v>876</v>
      </c>
      <c r="J102" s="363"/>
      <c r="O102" s="362"/>
      <c r="P102" s="362"/>
      <c r="Q102" s="362"/>
    </row>
    <row r="103" spans="1:17" ht="15" customHeight="1">
      <c r="A103" s="251" t="s">
        <v>34</v>
      </c>
      <c r="B103" s="233">
        <f t="shared" si="3"/>
        <v>8097</v>
      </c>
      <c r="C103" s="369">
        <v>3725</v>
      </c>
      <c r="D103" s="370">
        <v>4056</v>
      </c>
      <c r="E103" s="371">
        <v>109</v>
      </c>
      <c r="J103" s="363"/>
      <c r="O103" s="362"/>
      <c r="P103" s="362"/>
      <c r="Q103" s="362"/>
    </row>
    <row r="104" spans="1:17" ht="15" customHeight="1">
      <c r="A104" s="251" t="s">
        <v>232</v>
      </c>
      <c r="B104" s="233">
        <f>ROUND(C104+D104+E104*2.9,0)</f>
        <v>2444</v>
      </c>
      <c r="C104" s="369">
        <v>1124</v>
      </c>
      <c r="D104" s="370">
        <v>35</v>
      </c>
      <c r="E104" s="371">
        <v>443</v>
      </c>
      <c r="J104" s="363"/>
      <c r="O104" s="362"/>
      <c r="P104" s="362"/>
      <c r="Q104" s="362"/>
    </row>
    <row r="105" spans="1:17" ht="15" customHeight="1">
      <c r="A105" s="251" t="s">
        <v>460</v>
      </c>
      <c r="B105" s="233">
        <f t="shared" si="3"/>
        <v>1568</v>
      </c>
      <c r="C105" s="369">
        <v>721</v>
      </c>
      <c r="D105" s="370">
        <v>0</v>
      </c>
      <c r="E105" s="371">
        <v>292</v>
      </c>
      <c r="J105" s="363"/>
      <c r="O105" s="362"/>
      <c r="P105" s="362"/>
      <c r="Q105" s="362"/>
    </row>
    <row r="106" spans="1:17" ht="15" customHeight="1">
      <c r="A106" s="251" t="s">
        <v>75</v>
      </c>
      <c r="B106" s="233">
        <f>ROUND(C106+D106+E106*2.9,0)</f>
        <v>4093</v>
      </c>
      <c r="C106" s="369">
        <v>1883</v>
      </c>
      <c r="D106" s="370">
        <v>0</v>
      </c>
      <c r="E106" s="371">
        <v>762</v>
      </c>
      <c r="J106" s="363"/>
      <c r="O106" s="362"/>
      <c r="P106" s="362"/>
      <c r="Q106" s="362"/>
    </row>
    <row r="107" spans="1:17" ht="15" customHeight="1">
      <c r="A107" s="252" t="s">
        <v>80</v>
      </c>
      <c r="B107" s="233">
        <f t="shared" si="3"/>
        <v>3205</v>
      </c>
      <c r="C107" s="369">
        <v>1474</v>
      </c>
      <c r="D107" s="370">
        <v>667</v>
      </c>
      <c r="E107" s="371">
        <v>367</v>
      </c>
      <c r="J107" s="363"/>
      <c r="O107" s="362"/>
      <c r="P107" s="362"/>
      <c r="Q107" s="362"/>
    </row>
    <row r="108" spans="1:17" ht="15" customHeight="1">
      <c r="A108" s="251" t="s">
        <v>9</v>
      </c>
      <c r="B108" s="233">
        <f t="shared" si="3"/>
        <v>618</v>
      </c>
      <c r="C108" s="369">
        <v>284</v>
      </c>
      <c r="D108" s="370">
        <v>0</v>
      </c>
      <c r="E108" s="371">
        <v>115</v>
      </c>
      <c r="J108" s="363"/>
      <c r="O108" s="362"/>
      <c r="P108" s="362"/>
      <c r="Q108" s="362"/>
    </row>
    <row r="109" spans="1:17" ht="15" customHeight="1">
      <c r="A109" s="253" t="s">
        <v>78</v>
      </c>
      <c r="B109" s="233">
        <f t="shared" si="3"/>
        <v>7426</v>
      </c>
      <c r="C109" s="369">
        <v>3416</v>
      </c>
      <c r="D109" s="370">
        <v>75</v>
      </c>
      <c r="E109" s="371">
        <v>1357</v>
      </c>
      <c r="J109" s="363"/>
      <c r="O109" s="362"/>
      <c r="P109" s="362"/>
      <c r="Q109" s="362"/>
    </row>
    <row r="110" spans="1:17" ht="15" customHeight="1">
      <c r="A110" s="251" t="s">
        <v>2</v>
      </c>
      <c r="B110" s="233">
        <f t="shared" si="3"/>
        <v>8118</v>
      </c>
      <c r="C110" s="369">
        <v>3734</v>
      </c>
      <c r="D110" s="370">
        <v>25</v>
      </c>
      <c r="E110" s="371">
        <v>1503</v>
      </c>
      <c r="J110" s="363"/>
      <c r="O110" s="362"/>
      <c r="P110" s="362"/>
      <c r="Q110" s="362"/>
    </row>
    <row r="111" spans="1:17" ht="30.75" thickBot="1">
      <c r="A111" s="253" t="s">
        <v>81</v>
      </c>
      <c r="B111" s="233">
        <f t="shared" si="3"/>
        <v>14742</v>
      </c>
      <c r="C111" s="369">
        <v>14742</v>
      </c>
      <c r="D111" s="370"/>
      <c r="E111" s="371"/>
      <c r="F111" s="232"/>
      <c r="G111" s="232"/>
      <c r="H111" s="232"/>
      <c r="I111" s="232"/>
      <c r="O111" s="362"/>
      <c r="P111" s="362"/>
      <c r="Q111" s="362"/>
    </row>
    <row r="112" spans="1:17" ht="17.25" customHeight="1" thickBot="1">
      <c r="A112" s="241" t="s">
        <v>438</v>
      </c>
      <c r="B112" s="327">
        <f>B93+B94+B99+B100+B101+B102+B103+B104+B105+B106+B107+B108+B109+B110+B111</f>
        <v>186885</v>
      </c>
      <c r="C112" s="327">
        <f>C93+C94+C99+C100+C101+C102+C103+C104+C105+C106+C107+C108+C109+C110+C111</f>
        <v>93926</v>
      </c>
      <c r="D112" s="327">
        <f>D93+D94+D99+D100+D101+D102+D103+D104+D105+D106+D107+D108+D109+D110+D111</f>
        <v>21056</v>
      </c>
      <c r="E112" s="327">
        <f>E93+E94+E99+E100+E101+E102+E103+E104+E105+E106+E107+E108+E109+E110+E111</f>
        <v>24794</v>
      </c>
      <c r="H112" s="232"/>
      <c r="I112" s="363"/>
      <c r="J112" s="361"/>
      <c r="L112" s="232"/>
      <c r="O112" s="232"/>
      <c r="P112" s="361"/>
      <c r="Q112" s="361"/>
    </row>
    <row r="113" spans="1:5" ht="25.5" customHeight="1" thickBot="1">
      <c r="A113" s="568" t="s">
        <v>425</v>
      </c>
      <c r="B113" s="569"/>
      <c r="C113" s="569"/>
      <c r="D113" s="569"/>
      <c r="E113" s="569"/>
    </row>
    <row r="114" spans="1:6" ht="15.75" customHeight="1">
      <c r="A114" s="244" t="s">
        <v>38</v>
      </c>
      <c r="B114" s="233">
        <f aca="true" t="shared" si="4" ref="B114:B119">ROUND(C114+D114+E114*2.9,0)</f>
        <v>32581</v>
      </c>
      <c r="C114" s="364">
        <v>25354</v>
      </c>
      <c r="D114" s="365">
        <v>1140</v>
      </c>
      <c r="E114" s="366">
        <v>2099</v>
      </c>
      <c r="F114" s="240"/>
    </row>
    <row r="115" spans="1:6" ht="15.75" customHeight="1">
      <c r="A115" s="533" t="s">
        <v>441</v>
      </c>
      <c r="B115" s="522">
        <f t="shared" si="4"/>
        <v>1172</v>
      </c>
      <c r="C115" s="534">
        <f>'1.2. Диспансерное наблюдение'!B9</f>
        <v>1172</v>
      </c>
      <c r="D115" s="370"/>
      <c r="E115" s="371"/>
      <c r="F115" s="240"/>
    </row>
    <row r="116" spans="1:6" ht="15.75" customHeight="1">
      <c r="A116" s="254" t="s">
        <v>110</v>
      </c>
      <c r="B116" s="233">
        <f t="shared" si="4"/>
        <v>2469</v>
      </c>
      <c r="C116" s="367">
        <v>293</v>
      </c>
      <c r="D116" s="365">
        <v>10</v>
      </c>
      <c r="E116" s="366">
        <v>747</v>
      </c>
      <c r="F116" s="240"/>
    </row>
    <row r="117" spans="1:6" ht="15.75" customHeight="1">
      <c r="A117" s="254" t="s">
        <v>0</v>
      </c>
      <c r="B117" s="233">
        <f t="shared" si="4"/>
        <v>1481</v>
      </c>
      <c r="C117" s="367">
        <v>1481</v>
      </c>
      <c r="D117" s="365">
        <v>0</v>
      </c>
      <c r="E117" s="366">
        <v>0</v>
      </c>
      <c r="F117" s="240"/>
    </row>
    <row r="118" spans="1:6" ht="15.75" customHeight="1">
      <c r="A118" s="254" t="s">
        <v>2</v>
      </c>
      <c r="B118" s="233">
        <f t="shared" si="4"/>
        <v>902</v>
      </c>
      <c r="C118" s="367">
        <v>864</v>
      </c>
      <c r="D118" s="365">
        <v>0</v>
      </c>
      <c r="E118" s="366">
        <v>13</v>
      </c>
      <c r="F118" s="240"/>
    </row>
    <row r="119" spans="1:9" ht="27" customHeight="1" thickBot="1">
      <c r="A119" s="255" t="s">
        <v>208</v>
      </c>
      <c r="B119" s="233">
        <f t="shared" si="4"/>
        <v>1300</v>
      </c>
      <c r="C119" s="372">
        <v>1300</v>
      </c>
      <c r="D119" s="373"/>
      <c r="E119" s="374"/>
      <c r="F119" s="232"/>
      <c r="G119" s="232"/>
      <c r="H119" s="232"/>
      <c r="I119" s="232"/>
    </row>
    <row r="120" spans="1:9" ht="30" customHeight="1" thickBot="1">
      <c r="A120" s="241" t="s">
        <v>439</v>
      </c>
      <c r="B120" s="243">
        <f>SUM(B114:B119)-B115</f>
        <v>38733</v>
      </c>
      <c r="C120" s="243">
        <f>SUM(C114:C119)-C115</f>
        <v>29292</v>
      </c>
      <c r="D120" s="243">
        <f>SUM(D114:D119)-D115</f>
        <v>1150</v>
      </c>
      <c r="E120" s="368">
        <f>SUM(E114:E119)-E115</f>
        <v>2859</v>
      </c>
      <c r="H120" s="232"/>
      <c r="I120" s="545"/>
    </row>
    <row r="121" spans="1:6" ht="18" customHeight="1" thickBot="1">
      <c r="A121" s="533" t="s">
        <v>441</v>
      </c>
      <c r="B121" s="522">
        <f>C121</f>
        <v>1172</v>
      </c>
      <c r="C121" s="540">
        <f>C115</f>
        <v>1172</v>
      </c>
      <c r="D121" s="523"/>
      <c r="E121" s="524"/>
      <c r="F121" s="240"/>
    </row>
    <row r="122" spans="1:5" ht="21" customHeight="1" hidden="1" thickBot="1">
      <c r="A122" s="568"/>
      <c r="B122" s="569"/>
      <c r="C122" s="569"/>
      <c r="D122" s="569"/>
      <c r="E122" s="569"/>
    </row>
    <row r="123" spans="1:5" ht="15" hidden="1">
      <c r="A123" s="236"/>
      <c r="B123" s="233"/>
      <c r="C123" s="321"/>
      <c r="D123" s="319"/>
      <c r="E123" s="320"/>
    </row>
    <row r="124" spans="1:5" ht="15" hidden="1">
      <c r="A124" s="254"/>
      <c r="B124" s="233"/>
      <c r="C124" s="321"/>
      <c r="D124" s="319"/>
      <c r="E124" s="320"/>
    </row>
    <row r="125" spans="1:7" s="275" customFormat="1" ht="15" hidden="1">
      <c r="A125" s="270"/>
      <c r="B125" s="271"/>
      <c r="C125" s="324"/>
      <c r="D125" s="325"/>
      <c r="E125" s="326"/>
      <c r="G125" s="231"/>
    </row>
    <row r="126" spans="1:7" s="275" customFormat="1" ht="15" hidden="1">
      <c r="A126" s="270"/>
      <c r="B126" s="271"/>
      <c r="C126" s="324"/>
      <c r="D126" s="325"/>
      <c r="E126" s="326"/>
      <c r="G126" s="231"/>
    </row>
    <row r="127" spans="1:7" s="275" customFormat="1" ht="15" hidden="1">
      <c r="A127" s="270"/>
      <c r="B127" s="271"/>
      <c r="C127" s="324"/>
      <c r="D127" s="325"/>
      <c r="E127" s="326"/>
      <c r="G127" s="231"/>
    </row>
    <row r="128" spans="1:6" ht="15" hidden="1">
      <c r="A128" s="254"/>
      <c r="B128" s="233"/>
      <c r="C128" s="321"/>
      <c r="D128" s="319"/>
      <c r="E128" s="320"/>
      <c r="F128" s="240"/>
    </row>
    <row r="129" spans="1:6" ht="15" hidden="1">
      <c r="A129" s="254"/>
      <c r="B129" s="233"/>
      <c r="C129" s="321"/>
      <c r="D129" s="319"/>
      <c r="E129" s="320"/>
      <c r="F129" s="240"/>
    </row>
    <row r="130" spans="1:6" ht="15" hidden="1">
      <c r="A130" s="254"/>
      <c r="B130" s="233"/>
      <c r="C130" s="321"/>
      <c r="D130" s="319"/>
      <c r="E130" s="320"/>
      <c r="F130" s="240"/>
    </row>
    <row r="131" spans="1:6" ht="15" hidden="1">
      <c r="A131" s="254"/>
      <c r="B131" s="233"/>
      <c r="C131" s="321"/>
      <c r="D131" s="319"/>
      <c r="E131" s="320"/>
      <c r="F131" s="240"/>
    </row>
    <row r="132" spans="1:6" ht="15" hidden="1">
      <c r="A132" s="244"/>
      <c r="B132" s="233"/>
      <c r="C132" s="318"/>
      <c r="D132" s="319"/>
      <c r="E132" s="320"/>
      <c r="F132" s="240"/>
    </row>
    <row r="133" spans="1:6" ht="15.75" hidden="1" thickBot="1">
      <c r="A133" s="254"/>
      <c r="B133" s="233"/>
      <c r="C133" s="321"/>
      <c r="D133" s="319"/>
      <c r="E133" s="320"/>
      <c r="F133" s="240"/>
    </row>
    <row r="134" spans="1:6" ht="18" customHeight="1" hidden="1" thickBot="1">
      <c r="A134" s="241"/>
      <c r="B134" s="243"/>
      <c r="C134" s="327"/>
      <c r="D134" s="327"/>
      <c r="E134" s="327"/>
      <c r="F134" s="240"/>
    </row>
    <row r="135" spans="1:10" ht="21.75" customHeight="1" thickBot="1">
      <c r="A135" s="568" t="s">
        <v>426</v>
      </c>
      <c r="B135" s="569"/>
      <c r="C135" s="569"/>
      <c r="D135" s="569"/>
      <c r="E135" s="569"/>
      <c r="H135" s="232"/>
      <c r="I135" s="232"/>
      <c r="J135" s="232"/>
    </row>
    <row r="136" spans="1:5" ht="13.5" customHeight="1">
      <c r="A136" s="254" t="s">
        <v>410</v>
      </c>
      <c r="B136" s="256">
        <f aca="true" t="shared" si="5" ref="B136:B151">ROUND(C136+D136+E136*2.9,0)</f>
        <v>6838</v>
      </c>
      <c r="C136" s="369">
        <v>1575</v>
      </c>
      <c r="D136" s="370">
        <v>426</v>
      </c>
      <c r="E136" s="371">
        <v>1668</v>
      </c>
    </row>
    <row r="137" spans="1:5" ht="15" customHeight="1">
      <c r="A137" s="533" t="s">
        <v>441</v>
      </c>
      <c r="B137" s="522">
        <f>ROUND(C137+D137+E137*2.9,0)</f>
        <v>297</v>
      </c>
      <c r="C137" s="535">
        <f>'1.2. Диспансерное наблюдение'!D12</f>
        <v>297</v>
      </c>
      <c r="D137" s="370"/>
      <c r="E137" s="371"/>
    </row>
    <row r="138" spans="1:11" ht="18" customHeight="1">
      <c r="A138" s="237" t="s">
        <v>380</v>
      </c>
      <c r="B138" s="257">
        <f t="shared" si="5"/>
        <v>133232</v>
      </c>
      <c r="C138" s="369">
        <v>49275</v>
      </c>
      <c r="D138" s="370">
        <v>10570</v>
      </c>
      <c r="E138" s="371">
        <v>25306</v>
      </c>
      <c r="F138" s="232"/>
      <c r="H138" s="232"/>
      <c r="I138" s="232"/>
      <c r="J138" s="232"/>
      <c r="K138" s="232"/>
    </row>
    <row r="139" spans="1:11" s="275" customFormat="1" ht="32.25" customHeight="1">
      <c r="A139" s="270" t="s">
        <v>418</v>
      </c>
      <c r="B139" s="271">
        <f t="shared" si="5"/>
        <v>36910</v>
      </c>
      <c r="C139" s="375">
        <f>C140+C142</f>
        <v>36910</v>
      </c>
      <c r="D139" s="376">
        <v>0</v>
      </c>
      <c r="E139" s="377">
        <v>0</v>
      </c>
      <c r="F139" s="231"/>
      <c r="G139" s="231"/>
      <c r="I139" s="276"/>
      <c r="J139" s="276"/>
      <c r="K139" s="276"/>
    </row>
    <row r="140" spans="1:11" s="275" customFormat="1" ht="29.25" customHeight="1">
      <c r="A140" s="270" t="s">
        <v>382</v>
      </c>
      <c r="B140" s="271">
        <f t="shared" si="5"/>
        <v>30239</v>
      </c>
      <c r="C140" s="375">
        <f>'1.1. ПРОФ.МЕРОПРИЯТИЯ'!E11</f>
        <v>30239</v>
      </c>
      <c r="D140" s="376"/>
      <c r="E140" s="377"/>
      <c r="F140" s="231"/>
      <c r="G140" s="231"/>
      <c r="I140" s="276"/>
      <c r="J140" s="276"/>
      <c r="K140" s="276"/>
    </row>
    <row r="141" spans="1:11" s="275" customFormat="1" ht="24" customHeight="1">
      <c r="A141" s="270" t="s">
        <v>381</v>
      </c>
      <c r="B141" s="271"/>
      <c r="C141" s="375">
        <f>'1.1. ПРОФ.МЕРОПРИЯТИЯ'!F11</f>
        <v>2074</v>
      </c>
      <c r="D141" s="376"/>
      <c r="E141" s="377"/>
      <c r="F141" s="231"/>
      <c r="G141" s="231"/>
      <c r="I141" s="276"/>
      <c r="J141" s="276"/>
      <c r="K141" s="276"/>
    </row>
    <row r="142" spans="1:11" s="275" customFormat="1" ht="30" customHeight="1">
      <c r="A142" s="270" t="s">
        <v>206</v>
      </c>
      <c r="B142" s="271">
        <f t="shared" si="5"/>
        <v>6671</v>
      </c>
      <c r="C142" s="375">
        <f>'1.1. ПРОФ.МЕРОПРИЯТИЯ'!I11</f>
        <v>6671</v>
      </c>
      <c r="D142" s="376"/>
      <c r="E142" s="377"/>
      <c r="F142" s="231"/>
      <c r="G142" s="231"/>
      <c r="I142" s="276"/>
      <c r="J142" s="276"/>
      <c r="K142" s="276"/>
    </row>
    <row r="143" spans="1:11" s="538" customFormat="1" ht="17.25" customHeight="1">
      <c r="A143" s="533" t="s">
        <v>419</v>
      </c>
      <c r="B143" s="522">
        <f t="shared" si="5"/>
        <v>12183</v>
      </c>
      <c r="C143" s="534">
        <f>'1.2. Диспансерное наблюдение'!D17</f>
        <v>12183</v>
      </c>
      <c r="D143" s="523"/>
      <c r="E143" s="524"/>
      <c r="G143" s="231"/>
      <c r="I143" s="362"/>
      <c r="J143" s="362"/>
      <c r="K143" s="362"/>
    </row>
    <row r="144" spans="1:11" s="275" customFormat="1" ht="15" customHeight="1">
      <c r="A144" s="254" t="s">
        <v>70</v>
      </c>
      <c r="B144" s="256">
        <f t="shared" si="5"/>
        <v>3365</v>
      </c>
      <c r="C144" s="369">
        <v>871</v>
      </c>
      <c r="D144" s="370">
        <v>235</v>
      </c>
      <c r="E144" s="371">
        <v>779</v>
      </c>
      <c r="F144" s="231"/>
      <c r="G144" s="231"/>
      <c r="I144" s="276"/>
      <c r="J144" s="276"/>
      <c r="K144" s="276"/>
    </row>
    <row r="145" spans="1:11" s="275" customFormat="1" ht="15" customHeight="1">
      <c r="A145" s="251" t="s">
        <v>77</v>
      </c>
      <c r="B145" s="256">
        <f t="shared" si="5"/>
        <v>975</v>
      </c>
      <c r="C145" s="369">
        <v>252</v>
      </c>
      <c r="D145" s="370">
        <v>68</v>
      </c>
      <c r="E145" s="371">
        <v>226</v>
      </c>
      <c r="F145" s="231"/>
      <c r="G145" s="231"/>
      <c r="I145" s="276"/>
      <c r="J145" s="276"/>
      <c r="K145" s="276"/>
    </row>
    <row r="146" spans="1:11" s="275" customFormat="1" ht="15" customHeight="1">
      <c r="A146" s="251" t="s">
        <v>47</v>
      </c>
      <c r="B146" s="256">
        <f t="shared" si="5"/>
        <v>7763</v>
      </c>
      <c r="C146" s="369">
        <v>1766</v>
      </c>
      <c r="D146" s="370">
        <v>478</v>
      </c>
      <c r="E146" s="371">
        <v>1903</v>
      </c>
      <c r="F146" s="231"/>
      <c r="G146" s="231"/>
      <c r="I146" s="276"/>
      <c r="J146" s="276"/>
      <c r="K146" s="276"/>
    </row>
    <row r="147" spans="1:5" ht="13.5" customHeight="1">
      <c r="A147" s="244" t="s">
        <v>9</v>
      </c>
      <c r="B147" s="257">
        <f t="shared" si="5"/>
        <v>4876</v>
      </c>
      <c r="C147" s="369">
        <v>1261</v>
      </c>
      <c r="D147" s="370">
        <v>341</v>
      </c>
      <c r="E147" s="371">
        <v>1129</v>
      </c>
    </row>
    <row r="148" spans="1:5" ht="13.5" customHeight="1">
      <c r="A148" s="251" t="s">
        <v>13</v>
      </c>
      <c r="B148" s="258">
        <f t="shared" si="5"/>
        <v>1024</v>
      </c>
      <c r="C148" s="369">
        <v>265</v>
      </c>
      <c r="D148" s="370">
        <v>72</v>
      </c>
      <c r="E148" s="371">
        <v>237</v>
      </c>
    </row>
    <row r="149" spans="1:5" ht="13.5" customHeight="1">
      <c r="A149" s="244" t="s">
        <v>420</v>
      </c>
      <c r="B149" s="257">
        <f t="shared" si="5"/>
        <v>5536</v>
      </c>
      <c r="C149" s="369">
        <v>1433</v>
      </c>
      <c r="D149" s="370">
        <v>388</v>
      </c>
      <c r="E149" s="371">
        <v>1281</v>
      </c>
    </row>
    <row r="150" spans="1:5" ht="13.5" customHeight="1">
      <c r="A150" s="533" t="s">
        <v>441</v>
      </c>
      <c r="B150" s="522">
        <f t="shared" si="5"/>
        <v>231</v>
      </c>
      <c r="C150" s="535">
        <f>'1.2. Диспансерное наблюдение'!D11</f>
        <v>231</v>
      </c>
      <c r="D150" s="370"/>
      <c r="E150" s="371"/>
    </row>
    <row r="151" spans="1:5" ht="13.5" customHeight="1">
      <c r="A151" s="244" t="s">
        <v>411</v>
      </c>
      <c r="B151" s="257">
        <f t="shared" si="5"/>
        <v>14490</v>
      </c>
      <c r="C151" s="369">
        <v>3749</v>
      </c>
      <c r="D151" s="370">
        <v>1014</v>
      </c>
      <c r="E151" s="371">
        <v>3354</v>
      </c>
    </row>
    <row r="152" spans="1:5" ht="13.5" customHeight="1">
      <c r="A152" s="533" t="s">
        <v>441</v>
      </c>
      <c r="B152" s="522">
        <f>ROUND(C152+D152+E152*2.9,0)</f>
        <v>1127</v>
      </c>
      <c r="C152" s="535">
        <f>'1.2. Диспансерное наблюдение'!D13</f>
        <v>1127</v>
      </c>
      <c r="D152" s="370"/>
      <c r="E152" s="371"/>
    </row>
    <row r="153" spans="1:5" ht="13.5" customHeight="1">
      <c r="A153" s="245" t="s">
        <v>413</v>
      </c>
      <c r="B153" s="257">
        <f aca="true" t="shared" si="6" ref="B153:B161">ROUND(C153+D153+E153*2.9,0)</f>
        <v>11918</v>
      </c>
      <c r="C153" s="382">
        <v>3083</v>
      </c>
      <c r="D153" s="370">
        <v>834</v>
      </c>
      <c r="E153" s="371">
        <v>2759</v>
      </c>
    </row>
    <row r="154" spans="1:5" ht="13.5" customHeight="1">
      <c r="A154" s="533" t="s">
        <v>441</v>
      </c>
      <c r="B154" s="522">
        <f t="shared" si="6"/>
        <v>263</v>
      </c>
      <c r="C154" s="535">
        <f>'1.2. Диспансерное наблюдение'!D15</f>
        <v>263</v>
      </c>
      <c r="D154" s="370"/>
      <c r="E154" s="371"/>
    </row>
    <row r="155" spans="1:5" ht="13.5" customHeight="1">
      <c r="A155" s="251" t="s">
        <v>414</v>
      </c>
      <c r="B155" s="256">
        <f t="shared" si="6"/>
        <v>12628</v>
      </c>
      <c r="C155" s="369">
        <v>3267</v>
      </c>
      <c r="D155" s="370">
        <v>884</v>
      </c>
      <c r="E155" s="371">
        <v>2923</v>
      </c>
    </row>
    <row r="156" spans="1:5" ht="13.5" customHeight="1">
      <c r="A156" s="533" t="s">
        <v>441</v>
      </c>
      <c r="B156" s="522">
        <f>ROUND(C156+D156+E156*2.9,0)</f>
        <v>611</v>
      </c>
      <c r="C156" s="535">
        <f>'1.2. Диспансерное наблюдение'!D16</f>
        <v>611</v>
      </c>
      <c r="D156" s="370"/>
      <c r="E156" s="371"/>
    </row>
    <row r="157" spans="1:5" ht="13.5" customHeight="1">
      <c r="A157" s="251" t="s">
        <v>10</v>
      </c>
      <c r="B157" s="256">
        <f t="shared" si="6"/>
        <v>975</v>
      </c>
      <c r="C157" s="369">
        <v>252</v>
      </c>
      <c r="D157" s="370">
        <v>68</v>
      </c>
      <c r="E157" s="371">
        <v>226</v>
      </c>
    </row>
    <row r="158" spans="1:5" ht="25.5" customHeight="1">
      <c r="A158" s="236" t="s">
        <v>81</v>
      </c>
      <c r="B158" s="258">
        <f t="shared" si="6"/>
        <v>19599</v>
      </c>
      <c r="C158" s="369">
        <v>15473</v>
      </c>
      <c r="D158" s="370">
        <v>568</v>
      </c>
      <c r="E158" s="371">
        <v>1227</v>
      </c>
    </row>
    <row r="159" spans="1:5" ht="13.5" customHeight="1">
      <c r="A159" s="244" t="s">
        <v>421</v>
      </c>
      <c r="B159" s="257">
        <f t="shared" si="6"/>
        <v>27176</v>
      </c>
      <c r="C159" s="369">
        <v>7030</v>
      </c>
      <c r="D159" s="370">
        <v>1902</v>
      </c>
      <c r="E159" s="371">
        <v>6291</v>
      </c>
    </row>
    <row r="160" spans="1:5" ht="13.5" customHeight="1">
      <c r="A160" s="533" t="s">
        <v>441</v>
      </c>
      <c r="B160" s="522">
        <f t="shared" si="6"/>
        <v>140</v>
      </c>
      <c r="C160" s="535">
        <f>'1.2. Диспансерное наблюдение'!D18</f>
        <v>140</v>
      </c>
      <c r="D160" s="370"/>
      <c r="E160" s="371"/>
    </row>
    <row r="161" spans="1:5" ht="13.5" customHeight="1">
      <c r="A161" s="244" t="s">
        <v>416</v>
      </c>
      <c r="B161" s="257">
        <f t="shared" si="6"/>
        <v>9590</v>
      </c>
      <c r="C161" s="369">
        <v>2481</v>
      </c>
      <c r="D161" s="370">
        <v>671</v>
      </c>
      <c r="E161" s="371">
        <v>2220</v>
      </c>
    </row>
    <row r="162" spans="1:5" ht="13.5" customHeight="1">
      <c r="A162" s="533" t="s">
        <v>441</v>
      </c>
      <c r="B162" s="522">
        <f aca="true" t="shared" si="7" ref="B162:B168">ROUND(C162+D162+E162*2.9,0)</f>
        <v>246</v>
      </c>
      <c r="C162" s="535">
        <f>'1.2. Диспансерное наблюдение'!D19</f>
        <v>246</v>
      </c>
      <c r="D162" s="370"/>
      <c r="E162" s="371"/>
    </row>
    <row r="163" spans="1:5" ht="13.5" customHeight="1">
      <c r="A163" s="244" t="s">
        <v>422</v>
      </c>
      <c r="B163" s="257">
        <f t="shared" si="7"/>
        <v>14896</v>
      </c>
      <c r="C163" s="369">
        <v>3854</v>
      </c>
      <c r="D163" s="370">
        <v>1043</v>
      </c>
      <c r="E163" s="371">
        <v>3448</v>
      </c>
    </row>
    <row r="164" spans="1:5" ht="13.5" customHeight="1">
      <c r="A164" s="533" t="s">
        <v>441</v>
      </c>
      <c r="B164" s="522">
        <f t="shared" si="7"/>
        <v>351</v>
      </c>
      <c r="C164" s="535">
        <f>'1.2. Диспансерное наблюдение'!D20</f>
        <v>351</v>
      </c>
      <c r="D164" s="370"/>
      <c r="E164" s="371"/>
    </row>
    <row r="165" spans="1:5" ht="13.5" customHeight="1">
      <c r="A165" s="254" t="s">
        <v>423</v>
      </c>
      <c r="B165" s="256">
        <f t="shared" si="7"/>
        <v>9699</v>
      </c>
      <c r="C165" s="369">
        <v>2509</v>
      </c>
      <c r="D165" s="370">
        <v>679</v>
      </c>
      <c r="E165" s="371">
        <v>2245</v>
      </c>
    </row>
    <row r="166" spans="1:5" ht="13.5" customHeight="1">
      <c r="A166" s="533" t="s">
        <v>441</v>
      </c>
      <c r="B166" s="522">
        <f t="shared" si="7"/>
        <v>1003</v>
      </c>
      <c r="C166" s="535">
        <f>'1.2. Диспансерное наблюдение'!D21</f>
        <v>1003</v>
      </c>
      <c r="D166" s="370"/>
      <c r="E166" s="370"/>
    </row>
    <row r="167" spans="1:5" ht="13.5" customHeight="1">
      <c r="A167" s="254" t="s">
        <v>246</v>
      </c>
      <c r="B167" s="256">
        <f t="shared" si="7"/>
        <v>833</v>
      </c>
      <c r="C167" s="369">
        <v>215</v>
      </c>
      <c r="D167" s="370">
        <v>58</v>
      </c>
      <c r="E167" s="370">
        <v>193</v>
      </c>
    </row>
    <row r="168" spans="1:5" ht="13.5" customHeight="1">
      <c r="A168" s="254" t="s">
        <v>73</v>
      </c>
      <c r="B168" s="256">
        <f t="shared" si="7"/>
        <v>2438</v>
      </c>
      <c r="C168" s="369">
        <v>631</v>
      </c>
      <c r="D168" s="370">
        <v>171</v>
      </c>
      <c r="E168" s="370">
        <v>564</v>
      </c>
    </row>
    <row r="169" spans="1:5" ht="16.5" customHeight="1">
      <c r="A169" s="251" t="s">
        <v>217</v>
      </c>
      <c r="B169" s="258">
        <f aca="true" t="shared" si="8" ref="B169:B175">ROUND(C169+D169+E169*2.9,0)</f>
        <v>144151</v>
      </c>
      <c r="C169" s="369">
        <f>C170+C171</f>
        <v>20286</v>
      </c>
      <c r="D169" s="369">
        <f>D170+D171</f>
        <v>10910</v>
      </c>
      <c r="E169" s="369">
        <f>E170+E171</f>
        <v>38950</v>
      </c>
    </row>
    <row r="170" spans="1:7" s="248" customFormat="1" ht="16.5" customHeight="1">
      <c r="A170" s="297" t="s">
        <v>218</v>
      </c>
      <c r="B170" s="258">
        <f t="shared" si="8"/>
        <v>109842</v>
      </c>
      <c r="C170" s="375">
        <v>12546</v>
      </c>
      <c r="D170" s="376">
        <v>7689</v>
      </c>
      <c r="E170" s="377">
        <v>30899</v>
      </c>
      <c r="F170" s="231"/>
      <c r="G170" s="231"/>
    </row>
    <row r="171" spans="1:7" s="248" customFormat="1" ht="16.5" customHeight="1">
      <c r="A171" s="297" t="s">
        <v>219</v>
      </c>
      <c r="B171" s="258">
        <f t="shared" si="8"/>
        <v>34309</v>
      </c>
      <c r="C171" s="375">
        <v>7740</v>
      </c>
      <c r="D171" s="376">
        <v>3221</v>
      </c>
      <c r="E171" s="377">
        <v>8051</v>
      </c>
      <c r="F171" s="231"/>
      <c r="G171" s="231"/>
    </row>
    <row r="172" spans="1:5" ht="16.5" customHeight="1">
      <c r="A172" s="251" t="s">
        <v>220</v>
      </c>
      <c r="B172" s="258">
        <f t="shared" si="8"/>
        <v>5989</v>
      </c>
      <c r="C172" s="369">
        <f>SUM(C173:C174)</f>
        <v>5989</v>
      </c>
      <c r="D172" s="369">
        <f>SUM(D173:D174)</f>
        <v>0</v>
      </c>
      <c r="E172" s="369">
        <f>SUM(E173:E174)</f>
        <v>0</v>
      </c>
    </row>
    <row r="173" spans="1:7" s="248" customFormat="1" ht="16.5" customHeight="1">
      <c r="A173" s="297" t="s">
        <v>221</v>
      </c>
      <c r="B173" s="258">
        <f t="shared" si="8"/>
        <v>2236</v>
      </c>
      <c r="C173" s="375">
        <v>2236</v>
      </c>
      <c r="D173" s="376">
        <v>0</v>
      </c>
      <c r="E173" s="377">
        <v>0</v>
      </c>
      <c r="F173" s="231"/>
      <c r="G173" s="231"/>
    </row>
    <row r="174" spans="1:7" s="248" customFormat="1" ht="16.5" customHeight="1">
      <c r="A174" s="297" t="s">
        <v>222</v>
      </c>
      <c r="B174" s="258">
        <f t="shared" si="8"/>
        <v>3753</v>
      </c>
      <c r="C174" s="375">
        <v>3753</v>
      </c>
      <c r="D174" s="376">
        <v>0</v>
      </c>
      <c r="E174" s="377">
        <v>0</v>
      </c>
      <c r="F174" s="231"/>
      <c r="G174" s="231"/>
    </row>
    <row r="175" spans="1:9" s="248" customFormat="1" ht="16.5" customHeight="1" thickBot="1">
      <c r="A175" s="384" t="s">
        <v>72</v>
      </c>
      <c r="B175" s="258">
        <f t="shared" si="8"/>
        <v>571</v>
      </c>
      <c r="C175" s="504">
        <v>0</v>
      </c>
      <c r="D175" s="505">
        <v>0</v>
      </c>
      <c r="E175" s="506">
        <v>197</v>
      </c>
      <c r="F175" s="232"/>
      <c r="G175" s="232"/>
      <c r="H175" s="232"/>
      <c r="I175" s="232"/>
    </row>
    <row r="176" spans="1:9" ht="32.25" customHeight="1" thickBot="1">
      <c r="A176" s="241" t="s">
        <v>440</v>
      </c>
      <c r="B176" s="327">
        <f>B136+B138+B144+B145+B146+B147+B148+B149+B151+B153+B155+B157+B158+B159+B161+B163+B165+B167+B168+B169+B172+B175</f>
        <v>438562</v>
      </c>
      <c r="C176" s="327">
        <f>C136+C138+C144+C145+C146+C147+C148+C149+C151+C153+C155+C157+C158+C159+C161+C163+C165+C167+C168+C169+C172+C175</f>
        <v>125517</v>
      </c>
      <c r="D176" s="327">
        <f>D136+D138+D144+D145+D146+D147+D148+D149+D151+D153+D155+D157+D158+D159+D161+D163+D165+D167+D168+D169+D172+D175</f>
        <v>31380</v>
      </c>
      <c r="E176" s="327">
        <f>E136+E138+E144+E145+E146+E147+E148+E149+E151+E153+E155+E157+E158+E159+E161+E163+E165+E167+E168+E169+E172+E175</f>
        <v>97126</v>
      </c>
      <c r="H176" s="232"/>
      <c r="I176" s="545"/>
    </row>
    <row r="177" spans="1:6" ht="30" customHeight="1" thickBot="1">
      <c r="A177" s="533" t="s">
        <v>441</v>
      </c>
      <c r="B177" s="522">
        <f>C177</f>
        <v>16452</v>
      </c>
      <c r="C177" s="542">
        <f>C166+C164+C162+C160+C156+C154+C152+C150+C143+C137</f>
        <v>16452</v>
      </c>
      <c r="D177" s="523"/>
      <c r="E177" s="524"/>
      <c r="F177" s="540"/>
    </row>
    <row r="178" spans="1:5" ht="20.25" customHeight="1" hidden="1" thickBot="1">
      <c r="A178" s="568"/>
      <c r="B178" s="569"/>
      <c r="C178" s="569"/>
      <c r="D178" s="569"/>
      <c r="E178" s="569"/>
    </row>
    <row r="179" spans="1:5" ht="23.25" customHeight="1" hidden="1">
      <c r="A179" s="244"/>
      <c r="B179" s="257"/>
      <c r="C179" s="318"/>
      <c r="D179" s="319"/>
      <c r="E179" s="320"/>
    </row>
    <row r="180" spans="1:5" ht="16.5" customHeight="1" hidden="1" thickBot="1">
      <c r="A180" s="255"/>
      <c r="B180" s="257"/>
      <c r="C180" s="321"/>
      <c r="D180" s="319"/>
      <c r="E180" s="320"/>
    </row>
    <row r="181" spans="1:6" ht="18.75" customHeight="1" hidden="1" thickBot="1">
      <c r="A181" s="241"/>
      <c r="B181" s="243"/>
      <c r="C181" s="327"/>
      <c r="D181" s="327"/>
      <c r="E181" s="340"/>
      <c r="F181" s="240"/>
    </row>
    <row r="182" spans="1:5" ht="20.25" customHeight="1" hidden="1" thickBot="1">
      <c r="A182" s="568"/>
      <c r="B182" s="569"/>
      <c r="C182" s="569"/>
      <c r="D182" s="569"/>
      <c r="E182" s="569"/>
    </row>
    <row r="183" spans="1:6" ht="18.75" customHeight="1" hidden="1">
      <c r="A183" s="254"/>
      <c r="B183" s="256"/>
      <c r="C183" s="339"/>
      <c r="D183" s="341"/>
      <c r="E183" s="342"/>
      <c r="F183" s="240"/>
    </row>
    <row r="184" spans="1:11" s="275" customFormat="1" ht="45" customHeight="1" hidden="1">
      <c r="A184" s="270"/>
      <c r="B184" s="271"/>
      <c r="C184" s="324"/>
      <c r="D184" s="325"/>
      <c r="E184" s="326"/>
      <c r="G184" s="231"/>
      <c r="I184" s="276"/>
      <c r="J184" s="276"/>
      <c r="K184" s="276"/>
    </row>
    <row r="185" spans="1:11" s="275" customFormat="1" ht="27.75" customHeight="1" hidden="1">
      <c r="A185" s="270"/>
      <c r="B185" s="271"/>
      <c r="C185" s="324"/>
      <c r="D185" s="325"/>
      <c r="E185" s="326"/>
      <c r="F185" s="276"/>
      <c r="G185" s="231"/>
      <c r="I185" s="276"/>
      <c r="J185" s="276"/>
      <c r="K185" s="276"/>
    </row>
    <row r="186" spans="1:11" s="275" customFormat="1" ht="33.75" customHeight="1" hidden="1">
      <c r="A186" s="270"/>
      <c r="B186" s="271"/>
      <c r="C186" s="324"/>
      <c r="D186" s="325"/>
      <c r="E186" s="326"/>
      <c r="F186" s="276"/>
      <c r="G186" s="231"/>
      <c r="I186" s="276"/>
      <c r="J186" s="276"/>
      <c r="K186" s="276"/>
    </row>
    <row r="187" spans="1:6" ht="21" customHeight="1" hidden="1">
      <c r="A187" s="254"/>
      <c r="B187" s="256"/>
      <c r="C187" s="339"/>
      <c r="D187" s="341"/>
      <c r="E187" s="342"/>
      <c r="F187" s="240"/>
    </row>
    <row r="188" spans="1:13" s="272" customFormat="1" ht="15" hidden="1">
      <c r="A188" s="270"/>
      <c r="B188" s="271"/>
      <c r="C188" s="324"/>
      <c r="D188" s="325"/>
      <c r="E188" s="326"/>
      <c r="G188" s="231"/>
      <c r="H188" s="274"/>
      <c r="I188" s="273"/>
      <c r="J188" s="273"/>
      <c r="K188" s="273"/>
      <c r="M188" s="273"/>
    </row>
    <row r="189" spans="1:13" s="272" customFormat="1" ht="15" hidden="1">
      <c r="A189" s="270"/>
      <c r="B189" s="271"/>
      <c r="C189" s="324"/>
      <c r="D189" s="325"/>
      <c r="E189" s="326"/>
      <c r="G189" s="231"/>
      <c r="H189" s="274"/>
      <c r="I189" s="273"/>
      <c r="J189" s="273"/>
      <c r="K189" s="273"/>
      <c r="M189" s="273"/>
    </row>
    <row r="190" spans="1:13" s="272" customFormat="1" ht="15" hidden="1">
      <c r="A190" s="270"/>
      <c r="B190" s="271"/>
      <c r="C190" s="324"/>
      <c r="D190" s="325"/>
      <c r="E190" s="326"/>
      <c r="G190" s="231"/>
      <c r="H190" s="274"/>
      <c r="I190" s="273"/>
      <c r="J190" s="273"/>
      <c r="K190" s="273"/>
      <c r="M190" s="273"/>
    </row>
    <row r="191" spans="1:13" s="272" customFormat="1" ht="15" hidden="1">
      <c r="A191" s="270"/>
      <c r="B191" s="271"/>
      <c r="C191" s="324"/>
      <c r="D191" s="325"/>
      <c r="E191" s="326"/>
      <c r="F191" s="273"/>
      <c r="G191" s="231"/>
      <c r="H191" s="274"/>
      <c r="I191" s="273"/>
      <c r="J191" s="273"/>
      <c r="K191" s="273"/>
      <c r="M191" s="273"/>
    </row>
    <row r="192" spans="1:6" ht="17.25" customHeight="1" hidden="1">
      <c r="A192" s="254"/>
      <c r="B192" s="256"/>
      <c r="C192" s="339"/>
      <c r="D192" s="337"/>
      <c r="E192" s="338"/>
      <c r="F192" s="240"/>
    </row>
    <row r="193" spans="1:6" ht="14.25" customHeight="1" hidden="1">
      <c r="A193" s="254"/>
      <c r="B193" s="256"/>
      <c r="C193" s="339"/>
      <c r="D193" s="337"/>
      <c r="E193" s="338"/>
      <c r="F193" s="240"/>
    </row>
    <row r="194" spans="1:6" ht="14.25" customHeight="1" hidden="1">
      <c r="A194" s="254"/>
      <c r="B194" s="256"/>
      <c r="C194" s="339"/>
      <c r="D194" s="337"/>
      <c r="E194" s="338"/>
      <c r="F194" s="240"/>
    </row>
    <row r="195" spans="1:6" ht="13.5" customHeight="1" hidden="1">
      <c r="A195" s="254"/>
      <c r="B195" s="256"/>
      <c r="C195" s="339"/>
      <c r="D195" s="337"/>
      <c r="E195" s="338"/>
      <c r="F195" s="240"/>
    </row>
    <row r="196" spans="1:6" ht="13.5" customHeight="1" hidden="1">
      <c r="A196" s="254"/>
      <c r="B196" s="256"/>
      <c r="C196" s="339"/>
      <c r="D196" s="337"/>
      <c r="E196" s="338"/>
      <c r="F196" s="240"/>
    </row>
    <row r="197" spans="1:6" ht="15.75" customHeight="1" hidden="1">
      <c r="A197" s="254"/>
      <c r="B197" s="256"/>
      <c r="C197" s="339"/>
      <c r="D197" s="341"/>
      <c r="E197" s="342"/>
      <c r="F197" s="240"/>
    </row>
    <row r="198" spans="1:6" ht="13.5" customHeight="1" hidden="1">
      <c r="A198" s="244"/>
      <c r="B198" s="256"/>
      <c r="C198" s="336"/>
      <c r="D198" s="337"/>
      <c r="E198" s="338"/>
      <c r="F198" s="240"/>
    </row>
    <row r="199" spans="1:6" ht="13.5" customHeight="1" hidden="1">
      <c r="A199" s="254"/>
      <c r="B199" s="256"/>
      <c r="C199" s="339"/>
      <c r="D199" s="337"/>
      <c r="E199" s="338"/>
      <c r="F199" s="240"/>
    </row>
    <row r="200" spans="1:6" ht="14.25" customHeight="1" hidden="1">
      <c r="A200" s="254"/>
      <c r="B200" s="256"/>
      <c r="C200" s="339"/>
      <c r="D200" s="337"/>
      <c r="E200" s="338"/>
      <c r="F200" s="240"/>
    </row>
    <row r="201" spans="1:6" ht="15" customHeight="1" hidden="1">
      <c r="A201" s="254"/>
      <c r="B201" s="256"/>
      <c r="C201" s="339"/>
      <c r="D201" s="337"/>
      <c r="E201" s="338"/>
      <c r="F201" s="240"/>
    </row>
    <row r="202" spans="1:6" ht="28.5" customHeight="1" hidden="1">
      <c r="A202" s="254"/>
      <c r="B202" s="256"/>
      <c r="C202" s="339"/>
      <c r="D202" s="337"/>
      <c r="E202" s="338"/>
      <c r="F202" s="240"/>
    </row>
    <row r="203" spans="1:7" s="248" customFormat="1" ht="15.75" hidden="1" thickBot="1">
      <c r="A203" s="259"/>
      <c r="B203" s="256"/>
      <c r="C203" s="329"/>
      <c r="D203" s="330"/>
      <c r="E203" s="343"/>
      <c r="F203" s="240"/>
      <c r="G203" s="231"/>
    </row>
    <row r="204" spans="1:8" ht="17.25" customHeight="1" hidden="1" thickBot="1">
      <c r="A204" s="241"/>
      <c r="B204" s="243"/>
      <c r="C204" s="327"/>
      <c r="D204" s="327"/>
      <c r="E204" s="327"/>
      <c r="F204" s="240"/>
      <c r="H204" s="232"/>
    </row>
    <row r="205" spans="1:5" ht="20.25" customHeight="1" hidden="1" thickBot="1">
      <c r="A205" s="568"/>
      <c r="B205" s="569"/>
      <c r="C205" s="569"/>
      <c r="D205" s="569"/>
      <c r="E205" s="569"/>
    </row>
    <row r="206" spans="1:5" ht="18" customHeight="1" hidden="1">
      <c r="A206" s="254"/>
      <c r="B206" s="256"/>
      <c r="C206" s="339"/>
      <c r="D206" s="337"/>
      <c r="E206" s="338"/>
    </row>
    <row r="207" spans="1:11" s="275" customFormat="1" ht="44.25" customHeight="1" hidden="1">
      <c r="A207" s="270"/>
      <c r="B207" s="271"/>
      <c r="C207" s="324"/>
      <c r="D207" s="325"/>
      <c r="E207" s="326"/>
      <c r="G207" s="231"/>
      <c r="I207" s="276"/>
      <c r="J207" s="276"/>
      <c r="K207" s="276"/>
    </row>
    <row r="208" spans="1:11" s="275" customFormat="1" ht="31.5" customHeight="1" hidden="1">
      <c r="A208" s="270"/>
      <c r="B208" s="271"/>
      <c r="C208" s="324"/>
      <c r="D208" s="325"/>
      <c r="E208" s="326"/>
      <c r="F208" s="276"/>
      <c r="G208" s="231"/>
      <c r="I208" s="276"/>
      <c r="J208" s="276"/>
      <c r="K208" s="276"/>
    </row>
    <row r="209" spans="1:11" s="275" customFormat="1" ht="33" customHeight="1" hidden="1">
      <c r="A209" s="270"/>
      <c r="B209" s="271"/>
      <c r="C209" s="324"/>
      <c r="D209" s="325"/>
      <c r="E209" s="326"/>
      <c r="F209" s="276"/>
      <c r="G209" s="231"/>
      <c r="I209" s="276"/>
      <c r="J209" s="276"/>
      <c r="K209" s="276"/>
    </row>
    <row r="210" spans="1:5" ht="18" customHeight="1" hidden="1">
      <c r="A210" s="254"/>
      <c r="B210" s="256"/>
      <c r="C210" s="339"/>
      <c r="D210" s="337"/>
      <c r="E210" s="338"/>
    </row>
    <row r="211" spans="1:13" s="272" customFormat="1" ht="15" hidden="1">
      <c r="A211" s="270"/>
      <c r="B211" s="271"/>
      <c r="C211" s="324"/>
      <c r="D211" s="325"/>
      <c r="E211" s="326"/>
      <c r="G211" s="231"/>
      <c r="H211" s="274"/>
      <c r="I211" s="273"/>
      <c r="J211" s="273"/>
      <c r="K211" s="273"/>
      <c r="M211" s="273"/>
    </row>
    <row r="212" spans="1:13" s="272" customFormat="1" ht="15" hidden="1">
      <c r="A212" s="270"/>
      <c r="B212" s="271"/>
      <c r="C212" s="324"/>
      <c r="D212" s="325"/>
      <c r="E212" s="326"/>
      <c r="G212" s="231"/>
      <c r="H212" s="274"/>
      <c r="I212" s="273"/>
      <c r="J212" s="273"/>
      <c r="K212" s="273"/>
      <c r="M212" s="273"/>
    </row>
    <row r="213" spans="1:13" s="272" customFormat="1" ht="15" hidden="1">
      <c r="A213" s="270"/>
      <c r="B213" s="271"/>
      <c r="C213" s="324"/>
      <c r="D213" s="325"/>
      <c r="E213" s="326"/>
      <c r="G213" s="231"/>
      <c r="H213" s="274"/>
      <c r="I213" s="273"/>
      <c r="J213" s="273"/>
      <c r="K213" s="273"/>
      <c r="M213" s="273"/>
    </row>
    <row r="214" spans="1:13" s="272" customFormat="1" ht="15" hidden="1">
      <c r="A214" s="270"/>
      <c r="B214" s="271"/>
      <c r="C214" s="324"/>
      <c r="D214" s="325"/>
      <c r="E214" s="326"/>
      <c r="F214" s="273"/>
      <c r="G214" s="231"/>
      <c r="H214" s="274"/>
      <c r="I214" s="273"/>
      <c r="J214" s="273"/>
      <c r="K214" s="273"/>
      <c r="M214" s="273"/>
    </row>
    <row r="215" spans="1:6" ht="17.25" customHeight="1" hidden="1">
      <c r="A215" s="254"/>
      <c r="B215" s="256"/>
      <c r="C215" s="339"/>
      <c r="D215" s="337"/>
      <c r="E215" s="338"/>
      <c r="F215" s="240"/>
    </row>
    <row r="216" spans="1:6" ht="17.25" customHeight="1" hidden="1">
      <c r="A216" s="254"/>
      <c r="B216" s="256"/>
      <c r="C216" s="339"/>
      <c r="D216" s="337"/>
      <c r="E216" s="338"/>
      <c r="F216" s="240"/>
    </row>
    <row r="217" spans="1:6" ht="18.75" customHeight="1" hidden="1">
      <c r="A217" s="254"/>
      <c r="B217" s="256"/>
      <c r="C217" s="339"/>
      <c r="D217" s="337"/>
      <c r="E217" s="338"/>
      <c r="F217" s="240"/>
    </row>
    <row r="218" spans="1:6" ht="13.5" customHeight="1" hidden="1">
      <c r="A218" s="254"/>
      <c r="B218" s="256"/>
      <c r="C218" s="339"/>
      <c r="D218" s="337"/>
      <c r="E218" s="338"/>
      <c r="F218" s="240"/>
    </row>
    <row r="219" spans="1:6" ht="13.5" customHeight="1" hidden="1">
      <c r="A219" s="354"/>
      <c r="B219" s="256"/>
      <c r="C219" s="339"/>
      <c r="D219" s="337"/>
      <c r="E219" s="338"/>
      <c r="F219" s="240"/>
    </row>
    <row r="220" spans="1:6" ht="13.5" customHeight="1" hidden="1">
      <c r="A220" s="254"/>
      <c r="B220" s="256"/>
      <c r="C220" s="339"/>
      <c r="D220" s="337"/>
      <c r="E220" s="338"/>
      <c r="F220" s="240"/>
    </row>
    <row r="221" spans="1:6" ht="15.75" customHeight="1" hidden="1">
      <c r="A221" s="254"/>
      <c r="B221" s="256"/>
      <c r="C221" s="339"/>
      <c r="D221" s="341"/>
      <c r="E221" s="342"/>
      <c r="F221" s="240"/>
    </row>
    <row r="222" spans="1:6" ht="15" customHeight="1" hidden="1">
      <c r="A222" s="244"/>
      <c r="B222" s="256"/>
      <c r="C222" s="336"/>
      <c r="D222" s="337"/>
      <c r="E222" s="338"/>
      <c r="F222" s="240"/>
    </row>
    <row r="223" spans="1:6" ht="14.25" customHeight="1" hidden="1">
      <c r="A223" s="254"/>
      <c r="B223" s="256"/>
      <c r="C223" s="339"/>
      <c r="D223" s="337"/>
      <c r="E223" s="338"/>
      <c r="F223" s="240"/>
    </row>
    <row r="224" spans="1:7" s="248" customFormat="1" ht="28.5" customHeight="1" hidden="1" thickBot="1">
      <c r="A224" s="254"/>
      <c r="B224" s="256"/>
      <c r="C224" s="339"/>
      <c r="D224" s="337"/>
      <c r="E224" s="338"/>
      <c r="F224" s="240"/>
      <c r="G224" s="231"/>
    </row>
    <row r="225" spans="1:6" ht="18" customHeight="1" hidden="1" thickBot="1">
      <c r="A225" s="241"/>
      <c r="B225" s="243"/>
      <c r="C225" s="327"/>
      <c r="D225" s="327"/>
      <c r="E225" s="328"/>
      <c r="F225" s="240"/>
    </row>
    <row r="226" spans="1:5" ht="18.75" customHeight="1" hidden="1" thickBot="1">
      <c r="A226" s="573"/>
      <c r="B226" s="574"/>
      <c r="C226" s="574"/>
      <c r="D226" s="574"/>
      <c r="E226" s="574"/>
    </row>
    <row r="227" spans="1:5" ht="18.75" customHeight="1" hidden="1">
      <c r="A227" s="279"/>
      <c r="B227" s="280"/>
      <c r="C227" s="344"/>
      <c r="D227" s="344"/>
      <c r="E227" s="345"/>
    </row>
    <row r="228" spans="1:11" s="275" customFormat="1" ht="46.5" customHeight="1" hidden="1">
      <c r="A228" s="281"/>
      <c r="B228" s="278"/>
      <c r="C228" s="324"/>
      <c r="D228" s="324"/>
      <c r="E228" s="346"/>
      <c r="G228" s="231"/>
      <c r="I228" s="276"/>
      <c r="J228" s="276"/>
      <c r="K228" s="276"/>
    </row>
    <row r="229" spans="1:11" s="275" customFormat="1" ht="29.25" customHeight="1" hidden="1">
      <c r="A229" s="281"/>
      <c r="B229" s="278"/>
      <c r="C229" s="324"/>
      <c r="D229" s="324"/>
      <c r="E229" s="346"/>
      <c r="F229" s="276"/>
      <c r="G229" s="231"/>
      <c r="I229" s="276"/>
      <c r="J229" s="276"/>
      <c r="K229" s="276"/>
    </row>
    <row r="230" spans="1:11" s="275" customFormat="1" ht="28.5" customHeight="1" hidden="1">
      <c r="A230" s="281"/>
      <c r="B230" s="278"/>
      <c r="C230" s="324"/>
      <c r="D230" s="324"/>
      <c r="E230" s="346"/>
      <c r="F230" s="276"/>
      <c r="G230" s="231"/>
      <c r="I230" s="276"/>
      <c r="J230" s="276"/>
      <c r="K230" s="276"/>
    </row>
    <row r="231" spans="1:5" ht="15" hidden="1">
      <c r="A231" s="254"/>
      <c r="B231" s="256"/>
      <c r="C231" s="339"/>
      <c r="D231" s="339"/>
      <c r="E231" s="342"/>
    </row>
    <row r="232" spans="1:13" s="272" customFormat="1" ht="15" hidden="1">
      <c r="A232" s="281"/>
      <c r="B232" s="278"/>
      <c r="C232" s="324"/>
      <c r="D232" s="324"/>
      <c r="E232" s="346"/>
      <c r="G232" s="231"/>
      <c r="H232" s="274"/>
      <c r="I232" s="273"/>
      <c r="J232" s="273"/>
      <c r="K232" s="273"/>
      <c r="M232" s="273"/>
    </row>
    <row r="233" spans="1:13" s="272" customFormat="1" ht="15" hidden="1">
      <c r="A233" s="281"/>
      <c r="B233" s="278"/>
      <c r="C233" s="324"/>
      <c r="D233" s="324"/>
      <c r="E233" s="346"/>
      <c r="G233" s="231"/>
      <c r="H233" s="274"/>
      <c r="I233" s="273"/>
      <c r="J233" s="273"/>
      <c r="K233" s="273"/>
      <c r="M233" s="273"/>
    </row>
    <row r="234" spans="1:13" s="272" customFormat="1" ht="15" hidden="1">
      <c r="A234" s="281"/>
      <c r="B234" s="278"/>
      <c r="C234" s="324"/>
      <c r="D234" s="324"/>
      <c r="E234" s="346"/>
      <c r="G234" s="231"/>
      <c r="H234" s="274"/>
      <c r="I234" s="273"/>
      <c r="J234" s="273"/>
      <c r="K234" s="273"/>
      <c r="M234" s="273"/>
    </row>
    <row r="235" spans="1:13" s="272" customFormat="1" ht="15" hidden="1">
      <c r="A235" s="281"/>
      <c r="B235" s="278"/>
      <c r="C235" s="324"/>
      <c r="D235" s="324"/>
      <c r="E235" s="346"/>
      <c r="F235" s="273"/>
      <c r="G235" s="231"/>
      <c r="H235" s="274"/>
      <c r="I235" s="273"/>
      <c r="J235" s="273"/>
      <c r="K235" s="273"/>
      <c r="M235" s="273"/>
    </row>
    <row r="236" spans="1:5" ht="18.75" customHeight="1" hidden="1">
      <c r="A236" s="254"/>
      <c r="B236" s="256"/>
      <c r="C236" s="339"/>
      <c r="D236" s="339"/>
      <c r="E236" s="342"/>
    </row>
    <row r="237" spans="1:5" ht="18.75" customHeight="1" hidden="1">
      <c r="A237" s="254"/>
      <c r="B237" s="256"/>
      <c r="C237" s="339"/>
      <c r="D237" s="339"/>
      <c r="E237" s="342"/>
    </row>
    <row r="238" spans="1:5" ht="18.75" customHeight="1" hidden="1">
      <c r="A238" s="254"/>
      <c r="B238" s="256"/>
      <c r="C238" s="339"/>
      <c r="D238" s="339"/>
      <c r="E238" s="342"/>
    </row>
    <row r="239" spans="1:5" ht="18.75" customHeight="1" hidden="1">
      <c r="A239" s="254"/>
      <c r="B239" s="256"/>
      <c r="C239" s="339"/>
      <c r="D239" s="339"/>
      <c r="E239" s="342"/>
    </row>
    <row r="240" spans="1:5" ht="18.75" customHeight="1" hidden="1">
      <c r="A240" s="254"/>
      <c r="B240" s="256"/>
      <c r="C240" s="339"/>
      <c r="D240" s="339"/>
      <c r="E240" s="342"/>
    </row>
    <row r="241" spans="1:5" ht="33.75" customHeight="1" hidden="1">
      <c r="A241" s="254"/>
      <c r="B241" s="256"/>
      <c r="C241" s="339"/>
      <c r="D241" s="339"/>
      <c r="E241" s="342"/>
    </row>
    <row r="242" spans="1:5" ht="18.75" customHeight="1" hidden="1" thickBot="1">
      <c r="A242" s="282"/>
      <c r="B242" s="283"/>
      <c r="C242" s="335"/>
      <c r="D242" s="335"/>
      <c r="E242" s="343"/>
    </row>
    <row r="243" spans="1:6" ht="18.75" customHeight="1" hidden="1" thickBot="1">
      <c r="A243" s="241"/>
      <c r="B243" s="243"/>
      <c r="C243" s="327"/>
      <c r="D243" s="327"/>
      <c r="E243" s="328"/>
      <c r="F243" s="240"/>
    </row>
    <row r="244" spans="1:5" ht="18.75" customHeight="1" hidden="1" thickBot="1">
      <c r="A244" s="568"/>
      <c r="B244" s="569"/>
      <c r="C244" s="569"/>
      <c r="D244" s="569"/>
      <c r="E244" s="569"/>
    </row>
    <row r="245" spans="1:5" ht="13.5" customHeight="1" hidden="1">
      <c r="A245" s="235"/>
      <c r="B245" s="256"/>
      <c r="C245" s="336"/>
      <c r="D245" s="337"/>
      <c r="E245" s="338"/>
    </row>
    <row r="246" spans="1:11" s="275" customFormat="1" ht="44.25" customHeight="1" hidden="1">
      <c r="A246" s="270"/>
      <c r="B246" s="271"/>
      <c r="C246" s="324"/>
      <c r="D246" s="325"/>
      <c r="E246" s="325"/>
      <c r="G246" s="231"/>
      <c r="I246" s="276"/>
      <c r="J246" s="276"/>
      <c r="K246" s="276"/>
    </row>
    <row r="247" spans="1:11" s="275" customFormat="1" ht="31.5" customHeight="1" hidden="1">
      <c r="A247" s="270"/>
      <c r="B247" s="271"/>
      <c r="C247" s="324"/>
      <c r="D247" s="325"/>
      <c r="E247" s="325"/>
      <c r="F247" s="276"/>
      <c r="G247" s="231"/>
      <c r="I247" s="276"/>
      <c r="J247" s="276"/>
      <c r="K247" s="276"/>
    </row>
    <row r="248" spans="1:11" s="275" customFormat="1" ht="33" customHeight="1" hidden="1">
      <c r="A248" s="270"/>
      <c r="B248" s="271"/>
      <c r="C248" s="324"/>
      <c r="D248" s="325"/>
      <c r="E248" s="325"/>
      <c r="F248" s="276"/>
      <c r="G248" s="231"/>
      <c r="I248" s="276"/>
      <c r="J248" s="276"/>
      <c r="K248" s="276"/>
    </row>
    <row r="249" spans="1:5" ht="19.5" customHeight="1" hidden="1">
      <c r="A249" s="236"/>
      <c r="B249" s="256"/>
      <c r="C249" s="339"/>
      <c r="D249" s="337"/>
      <c r="E249" s="338"/>
    </row>
    <row r="250" spans="1:5" ht="19.5" customHeight="1" hidden="1">
      <c r="A250" s="236"/>
      <c r="B250" s="256"/>
      <c r="C250" s="339"/>
      <c r="D250" s="337"/>
      <c r="E250" s="338"/>
    </row>
    <row r="251" spans="1:13" s="272" customFormat="1" ht="15" hidden="1">
      <c r="A251" s="270"/>
      <c r="B251" s="271"/>
      <c r="C251" s="324"/>
      <c r="D251" s="325"/>
      <c r="E251" s="326"/>
      <c r="G251" s="231"/>
      <c r="H251" s="274"/>
      <c r="I251" s="273"/>
      <c r="J251" s="273"/>
      <c r="K251" s="273"/>
      <c r="M251" s="273"/>
    </row>
    <row r="252" spans="1:13" s="272" customFormat="1" ht="15" hidden="1">
      <c r="A252" s="270"/>
      <c r="B252" s="271"/>
      <c r="C252" s="324"/>
      <c r="D252" s="325"/>
      <c r="E252" s="326"/>
      <c r="G252" s="231"/>
      <c r="H252" s="274"/>
      <c r="I252" s="273"/>
      <c r="J252" s="273"/>
      <c r="K252" s="273"/>
      <c r="M252" s="273"/>
    </row>
    <row r="253" spans="1:13" s="272" customFormat="1" ht="15" hidden="1">
      <c r="A253" s="270"/>
      <c r="B253" s="271"/>
      <c r="C253" s="324"/>
      <c r="D253" s="325"/>
      <c r="E253" s="326"/>
      <c r="G253" s="231"/>
      <c r="H253" s="274"/>
      <c r="I253" s="273"/>
      <c r="J253" s="273"/>
      <c r="K253" s="273"/>
      <c r="M253" s="273"/>
    </row>
    <row r="254" spans="1:13" s="272" customFormat="1" ht="15" hidden="1">
      <c r="A254" s="270"/>
      <c r="B254" s="271"/>
      <c r="C254" s="324"/>
      <c r="D254" s="325"/>
      <c r="E254" s="326"/>
      <c r="F254" s="273"/>
      <c r="G254" s="231"/>
      <c r="H254" s="274"/>
      <c r="I254" s="273"/>
      <c r="J254" s="273"/>
      <c r="K254" s="273"/>
      <c r="M254" s="273"/>
    </row>
    <row r="255" spans="1:5" ht="13.5" customHeight="1" hidden="1">
      <c r="A255" s="236"/>
      <c r="B255" s="256"/>
      <c r="C255" s="339"/>
      <c r="D255" s="337"/>
      <c r="E255" s="338"/>
    </row>
    <row r="256" spans="1:5" ht="13.5" customHeight="1" hidden="1">
      <c r="A256" s="254"/>
      <c r="B256" s="256"/>
      <c r="C256" s="339"/>
      <c r="D256" s="337"/>
      <c r="E256" s="338"/>
    </row>
    <row r="257" spans="1:5" ht="13.5" customHeight="1" hidden="1">
      <c r="A257" s="254"/>
      <c r="B257" s="256"/>
      <c r="C257" s="339"/>
      <c r="D257" s="337"/>
      <c r="E257" s="338"/>
    </row>
    <row r="258" spans="1:7" s="262" customFormat="1" ht="12.75" customHeight="1" hidden="1">
      <c r="A258" s="260"/>
      <c r="B258" s="261"/>
      <c r="C258" s="339"/>
      <c r="D258" s="337"/>
      <c r="E258" s="338"/>
      <c r="G258" s="231"/>
    </row>
    <row r="259" spans="1:5" ht="17.25" customHeight="1" hidden="1">
      <c r="A259" s="254"/>
      <c r="B259" s="256"/>
      <c r="C259" s="339"/>
      <c r="D259" s="337"/>
      <c r="E259" s="338"/>
    </row>
    <row r="260" spans="1:5" ht="27.75" customHeight="1" hidden="1">
      <c r="A260" s="236"/>
      <c r="B260" s="256"/>
      <c r="C260" s="339"/>
      <c r="D260" s="337"/>
      <c r="E260" s="338"/>
    </row>
    <row r="261" spans="1:5" ht="15.75" hidden="1" thickBot="1">
      <c r="A261" s="244"/>
      <c r="B261" s="256"/>
      <c r="C261" s="339"/>
      <c r="D261" s="337"/>
      <c r="E261" s="338"/>
    </row>
    <row r="262" spans="1:6" ht="21" customHeight="1" hidden="1" thickBot="1">
      <c r="A262" s="241"/>
      <c r="B262" s="243"/>
      <c r="C262" s="327"/>
      <c r="D262" s="327"/>
      <c r="E262" s="328"/>
      <c r="F262" s="240"/>
    </row>
    <row r="263" spans="1:5" ht="17.25" customHeight="1" hidden="1" thickBot="1">
      <c r="A263" s="568"/>
      <c r="B263" s="569"/>
      <c r="C263" s="569"/>
      <c r="D263" s="569"/>
      <c r="E263" s="569"/>
    </row>
    <row r="264" spans="1:5" ht="13.5" customHeight="1" hidden="1">
      <c r="A264" s="254"/>
      <c r="B264" s="256"/>
      <c r="C264" s="339"/>
      <c r="D264" s="337"/>
      <c r="E264" s="338"/>
    </row>
    <row r="265" spans="1:11" s="275" customFormat="1" ht="42" customHeight="1" hidden="1">
      <c r="A265" s="270"/>
      <c r="B265" s="271"/>
      <c r="C265" s="324"/>
      <c r="D265" s="325"/>
      <c r="E265" s="326"/>
      <c r="G265" s="231"/>
      <c r="I265" s="276"/>
      <c r="J265" s="276"/>
      <c r="K265" s="276"/>
    </row>
    <row r="266" spans="1:11" s="275" customFormat="1" ht="31.5" customHeight="1" hidden="1">
      <c r="A266" s="270"/>
      <c r="B266" s="271"/>
      <c r="C266" s="324"/>
      <c r="D266" s="325"/>
      <c r="E266" s="326"/>
      <c r="F266" s="276"/>
      <c r="G266" s="231"/>
      <c r="I266" s="276"/>
      <c r="J266" s="276"/>
      <c r="K266" s="276"/>
    </row>
    <row r="267" spans="1:11" s="275" customFormat="1" ht="33" customHeight="1" hidden="1">
      <c r="A267" s="270"/>
      <c r="B267" s="271"/>
      <c r="C267" s="324"/>
      <c r="D267" s="325"/>
      <c r="E267" s="326"/>
      <c r="F267" s="276"/>
      <c r="G267" s="231"/>
      <c r="I267" s="276"/>
      <c r="J267" s="276"/>
      <c r="K267" s="276"/>
    </row>
    <row r="268" spans="1:5" ht="19.5" customHeight="1" hidden="1">
      <c r="A268" s="237"/>
      <c r="B268" s="256"/>
      <c r="C268" s="339"/>
      <c r="D268" s="337"/>
      <c r="E268" s="338"/>
    </row>
    <row r="269" spans="1:13" s="272" customFormat="1" ht="15" hidden="1">
      <c r="A269" s="270"/>
      <c r="B269" s="271"/>
      <c r="C269" s="324"/>
      <c r="D269" s="325"/>
      <c r="E269" s="326"/>
      <c r="G269" s="231"/>
      <c r="H269" s="274"/>
      <c r="I269" s="273"/>
      <c r="J269" s="273"/>
      <c r="K269" s="273"/>
      <c r="M269" s="273"/>
    </row>
    <row r="270" spans="1:13" s="272" customFormat="1" ht="15" hidden="1">
      <c r="A270" s="270"/>
      <c r="B270" s="271"/>
      <c r="C270" s="324"/>
      <c r="D270" s="325"/>
      <c r="E270" s="326"/>
      <c r="G270" s="231"/>
      <c r="H270" s="274"/>
      <c r="I270" s="273"/>
      <c r="J270" s="273"/>
      <c r="K270" s="273"/>
      <c r="M270" s="273"/>
    </row>
    <row r="271" spans="1:13" s="272" customFormat="1" ht="15" hidden="1">
      <c r="A271" s="270"/>
      <c r="B271" s="271"/>
      <c r="C271" s="324"/>
      <c r="D271" s="325"/>
      <c r="E271" s="326"/>
      <c r="G271" s="231"/>
      <c r="H271" s="274"/>
      <c r="I271" s="273"/>
      <c r="J271" s="273"/>
      <c r="K271" s="273"/>
      <c r="M271" s="273"/>
    </row>
    <row r="272" spans="1:13" s="272" customFormat="1" ht="15" hidden="1">
      <c r="A272" s="270"/>
      <c r="B272" s="271"/>
      <c r="C272" s="324"/>
      <c r="D272" s="325"/>
      <c r="E272" s="326"/>
      <c r="F272" s="273"/>
      <c r="G272" s="231"/>
      <c r="H272" s="274"/>
      <c r="I272" s="273"/>
      <c r="J272" s="273"/>
      <c r="K272" s="273"/>
      <c r="M272" s="273"/>
    </row>
    <row r="273" spans="1:5" ht="15.75" customHeight="1" hidden="1">
      <c r="A273" s="254"/>
      <c r="B273" s="256"/>
      <c r="C273" s="339"/>
      <c r="D273" s="337"/>
      <c r="E273" s="338"/>
    </row>
    <row r="274" spans="1:5" ht="13.5" customHeight="1" hidden="1">
      <c r="A274" s="254"/>
      <c r="B274" s="256"/>
      <c r="C274" s="339"/>
      <c r="D274" s="337"/>
      <c r="E274" s="338"/>
    </row>
    <row r="275" spans="1:5" ht="13.5" customHeight="1" hidden="1">
      <c r="A275" s="254"/>
      <c r="B275" s="256"/>
      <c r="C275" s="339"/>
      <c r="D275" s="337"/>
      <c r="E275" s="338"/>
    </row>
    <row r="276" spans="1:5" ht="13.5" customHeight="1" hidden="1">
      <c r="A276" s="254"/>
      <c r="B276" s="256"/>
      <c r="C276" s="339"/>
      <c r="D276" s="337"/>
      <c r="E276" s="338"/>
    </row>
    <row r="277" spans="1:5" ht="13.5" customHeight="1" hidden="1">
      <c r="A277" s="254"/>
      <c r="B277" s="256"/>
      <c r="C277" s="339"/>
      <c r="D277" s="337"/>
      <c r="E277" s="338"/>
    </row>
    <row r="278" spans="1:5" ht="14.25" customHeight="1" hidden="1">
      <c r="A278" s="254"/>
      <c r="B278" s="256"/>
      <c r="C278" s="339"/>
      <c r="D278" s="337"/>
      <c r="E278" s="338"/>
    </row>
    <row r="279" spans="1:5" ht="13.5" customHeight="1" hidden="1">
      <c r="A279" s="244"/>
      <c r="B279" s="256"/>
      <c r="C279" s="336"/>
      <c r="D279" s="337"/>
      <c r="E279" s="338"/>
    </row>
    <row r="280" spans="1:5" ht="13.5" customHeight="1" hidden="1">
      <c r="A280" s="254"/>
      <c r="B280" s="256"/>
      <c r="C280" s="339"/>
      <c r="D280" s="337"/>
      <c r="E280" s="338"/>
    </row>
    <row r="281" spans="1:5" ht="14.25" customHeight="1" hidden="1">
      <c r="A281" s="254"/>
      <c r="B281" s="256"/>
      <c r="C281" s="339"/>
      <c r="D281" s="337"/>
      <c r="E281" s="338"/>
    </row>
    <row r="282" spans="1:5" ht="18.75" customHeight="1" hidden="1">
      <c r="A282" s="254"/>
      <c r="B282" s="256"/>
      <c r="C282" s="339"/>
      <c r="D282" s="337"/>
      <c r="E282" s="338"/>
    </row>
    <row r="283" spans="1:5" ht="15.75" hidden="1" thickBot="1">
      <c r="A283" s="254"/>
      <c r="B283" s="256"/>
      <c r="C283" s="339"/>
      <c r="D283" s="337"/>
      <c r="E283" s="338"/>
    </row>
    <row r="284" spans="1:6" ht="20.25" customHeight="1" hidden="1" thickBot="1">
      <c r="A284" s="241"/>
      <c r="B284" s="243"/>
      <c r="C284" s="327"/>
      <c r="D284" s="327"/>
      <c r="E284" s="328"/>
      <c r="F284" s="240"/>
    </row>
    <row r="285" spans="1:5" ht="18.75" customHeight="1" hidden="1" thickBot="1">
      <c r="A285" s="568"/>
      <c r="B285" s="569"/>
      <c r="C285" s="569"/>
      <c r="D285" s="569"/>
      <c r="E285" s="569"/>
    </row>
    <row r="286" spans="1:6" ht="20.25" customHeight="1" hidden="1">
      <c r="A286" s="254"/>
      <c r="B286" s="256"/>
      <c r="C286" s="339"/>
      <c r="D286" s="337"/>
      <c r="E286" s="338"/>
      <c r="F286" s="240"/>
    </row>
    <row r="287" spans="1:11" s="275" customFormat="1" ht="45" customHeight="1" hidden="1">
      <c r="A287" s="270"/>
      <c r="B287" s="271"/>
      <c r="C287" s="324"/>
      <c r="D287" s="325"/>
      <c r="E287" s="326"/>
      <c r="G287" s="231"/>
      <c r="I287" s="276"/>
      <c r="J287" s="276"/>
      <c r="K287" s="276"/>
    </row>
    <row r="288" spans="1:11" s="275" customFormat="1" ht="29.25" customHeight="1" hidden="1">
      <c r="A288" s="270"/>
      <c r="B288" s="271"/>
      <c r="C288" s="324"/>
      <c r="D288" s="325"/>
      <c r="E288" s="326"/>
      <c r="F288" s="276"/>
      <c r="G288" s="231"/>
      <c r="I288" s="276"/>
      <c r="J288" s="276"/>
      <c r="K288" s="276"/>
    </row>
    <row r="289" spans="1:11" s="275" customFormat="1" ht="29.25" customHeight="1" hidden="1">
      <c r="A289" s="270"/>
      <c r="B289" s="271"/>
      <c r="C289" s="324"/>
      <c r="D289" s="325"/>
      <c r="E289" s="326"/>
      <c r="F289" s="276"/>
      <c r="G289" s="231"/>
      <c r="I289" s="276"/>
      <c r="J289" s="276"/>
      <c r="K289" s="276"/>
    </row>
    <row r="290" spans="1:5" ht="20.25" customHeight="1" hidden="1">
      <c r="A290" s="254"/>
      <c r="B290" s="256"/>
      <c r="C290" s="339"/>
      <c r="D290" s="337"/>
      <c r="E290" s="338"/>
    </row>
    <row r="291" spans="1:13" s="272" customFormat="1" ht="15" hidden="1">
      <c r="A291" s="270"/>
      <c r="B291" s="271"/>
      <c r="C291" s="324"/>
      <c r="D291" s="325"/>
      <c r="E291" s="326"/>
      <c r="G291" s="231"/>
      <c r="H291" s="274"/>
      <c r="I291" s="273"/>
      <c r="J291" s="273"/>
      <c r="K291" s="273"/>
      <c r="M291" s="273"/>
    </row>
    <row r="292" spans="1:13" s="272" customFormat="1" ht="15" hidden="1">
      <c r="A292" s="270"/>
      <c r="B292" s="271"/>
      <c r="C292" s="324"/>
      <c r="D292" s="325"/>
      <c r="E292" s="326"/>
      <c r="G292" s="231"/>
      <c r="H292" s="274"/>
      <c r="I292" s="273"/>
      <c r="J292" s="273"/>
      <c r="K292" s="273"/>
      <c r="M292" s="273"/>
    </row>
    <row r="293" spans="1:13" s="272" customFormat="1" ht="15" hidden="1">
      <c r="A293" s="270"/>
      <c r="B293" s="271"/>
      <c r="C293" s="324"/>
      <c r="D293" s="325"/>
      <c r="E293" s="326"/>
      <c r="G293" s="231"/>
      <c r="H293" s="274"/>
      <c r="I293" s="273"/>
      <c r="J293" s="273"/>
      <c r="K293" s="273"/>
      <c r="M293" s="273"/>
    </row>
    <row r="294" spans="1:13" s="272" customFormat="1" ht="15" hidden="1">
      <c r="A294" s="270"/>
      <c r="B294" s="271"/>
      <c r="C294" s="324"/>
      <c r="D294" s="325"/>
      <c r="E294" s="326"/>
      <c r="F294" s="273"/>
      <c r="G294" s="231"/>
      <c r="H294" s="274"/>
      <c r="I294" s="273"/>
      <c r="J294" s="273"/>
      <c r="K294" s="273"/>
      <c r="M294" s="273"/>
    </row>
    <row r="295" spans="1:6" ht="13.5" customHeight="1" hidden="1">
      <c r="A295" s="254"/>
      <c r="B295" s="256"/>
      <c r="C295" s="339"/>
      <c r="D295" s="337"/>
      <c r="E295" s="338"/>
      <c r="F295" s="240"/>
    </row>
    <row r="296" spans="1:6" ht="13.5" customHeight="1" hidden="1">
      <c r="A296" s="254"/>
      <c r="B296" s="256"/>
      <c r="C296" s="339"/>
      <c r="D296" s="337"/>
      <c r="E296" s="338"/>
      <c r="F296" s="240"/>
    </row>
    <row r="297" spans="1:6" ht="13.5" customHeight="1" hidden="1">
      <c r="A297" s="254"/>
      <c r="B297" s="256"/>
      <c r="C297" s="339"/>
      <c r="D297" s="337"/>
      <c r="E297" s="338"/>
      <c r="F297" s="240"/>
    </row>
    <row r="298" spans="1:6" ht="13.5" customHeight="1" hidden="1">
      <c r="A298" s="254"/>
      <c r="B298" s="256"/>
      <c r="C298" s="339"/>
      <c r="D298" s="337"/>
      <c r="E298" s="338"/>
      <c r="F298" s="240"/>
    </row>
    <row r="299" spans="1:6" ht="13.5" customHeight="1" hidden="1">
      <c r="A299" s="254"/>
      <c r="B299" s="256"/>
      <c r="C299" s="339"/>
      <c r="D299" s="337"/>
      <c r="E299" s="338"/>
      <c r="F299" s="240"/>
    </row>
    <row r="300" spans="1:6" ht="15" customHeight="1" hidden="1">
      <c r="A300" s="254"/>
      <c r="B300" s="256"/>
      <c r="C300" s="339"/>
      <c r="D300" s="337"/>
      <c r="E300" s="338"/>
      <c r="F300" s="240"/>
    </row>
    <row r="301" spans="1:6" ht="16.5" customHeight="1" hidden="1">
      <c r="A301" s="254"/>
      <c r="B301" s="256"/>
      <c r="C301" s="339"/>
      <c r="D301" s="337"/>
      <c r="E301" s="338"/>
      <c r="F301" s="240"/>
    </row>
    <row r="302" spans="1:6" ht="29.25" customHeight="1" hidden="1">
      <c r="A302" s="244"/>
      <c r="B302" s="256"/>
      <c r="C302" s="336"/>
      <c r="D302" s="337"/>
      <c r="E302" s="338"/>
      <c r="F302" s="240"/>
    </row>
    <row r="303" spans="1:6" ht="15.75" hidden="1" thickBot="1">
      <c r="A303" s="263"/>
      <c r="B303" s="256"/>
      <c r="C303" s="339"/>
      <c r="D303" s="337"/>
      <c r="E303" s="338"/>
      <c r="F303" s="240"/>
    </row>
    <row r="304" spans="1:6" ht="24" customHeight="1" hidden="1" thickBot="1">
      <c r="A304" s="241"/>
      <c r="B304" s="243"/>
      <c r="C304" s="327"/>
      <c r="D304" s="327"/>
      <c r="E304" s="328"/>
      <c r="F304" s="240"/>
    </row>
    <row r="305" spans="1:5" ht="18" customHeight="1" hidden="1" thickBot="1">
      <c r="A305" s="568"/>
      <c r="B305" s="569"/>
      <c r="C305" s="569"/>
      <c r="D305" s="569"/>
      <c r="E305" s="569"/>
    </row>
    <row r="306" spans="1:5" ht="13.5" customHeight="1" hidden="1">
      <c r="A306" s="254"/>
      <c r="B306" s="256"/>
      <c r="C306" s="347"/>
      <c r="D306" s="348"/>
      <c r="E306" s="349"/>
    </row>
    <row r="307" spans="1:11" s="275" customFormat="1" ht="46.5" customHeight="1" hidden="1">
      <c r="A307" s="270"/>
      <c r="B307" s="271"/>
      <c r="C307" s="324"/>
      <c r="D307" s="325"/>
      <c r="E307" s="326"/>
      <c r="G307" s="231"/>
      <c r="I307" s="276"/>
      <c r="J307" s="276"/>
      <c r="K307" s="276"/>
    </row>
    <row r="308" spans="1:11" s="275" customFormat="1" ht="31.5" customHeight="1" hidden="1">
      <c r="A308" s="270"/>
      <c r="B308" s="271"/>
      <c r="C308" s="324"/>
      <c r="D308" s="325"/>
      <c r="E308" s="326"/>
      <c r="F308" s="276"/>
      <c r="G308" s="231"/>
      <c r="I308" s="276"/>
      <c r="J308" s="276"/>
      <c r="K308" s="276"/>
    </row>
    <row r="309" spans="1:11" s="275" customFormat="1" ht="33" customHeight="1" hidden="1">
      <c r="A309" s="270"/>
      <c r="B309" s="271"/>
      <c r="C309" s="324"/>
      <c r="D309" s="325"/>
      <c r="E309" s="326"/>
      <c r="F309" s="276"/>
      <c r="G309" s="231"/>
      <c r="I309" s="276"/>
      <c r="J309" s="276"/>
      <c r="K309" s="276"/>
    </row>
    <row r="310" spans="1:5" ht="16.5" customHeight="1" hidden="1">
      <c r="A310" s="237"/>
      <c r="B310" s="256"/>
      <c r="C310" s="347"/>
      <c r="D310" s="337"/>
      <c r="E310" s="338"/>
    </row>
    <row r="311" spans="1:13" s="272" customFormat="1" ht="15" hidden="1">
      <c r="A311" s="270"/>
      <c r="B311" s="271"/>
      <c r="C311" s="324"/>
      <c r="D311" s="325"/>
      <c r="E311" s="326"/>
      <c r="G311" s="231"/>
      <c r="H311" s="274"/>
      <c r="I311" s="273"/>
      <c r="J311" s="273"/>
      <c r="K311" s="273"/>
      <c r="M311" s="273"/>
    </row>
    <row r="312" spans="1:13" s="272" customFormat="1" ht="15" hidden="1">
      <c r="A312" s="270"/>
      <c r="B312" s="271"/>
      <c r="C312" s="324"/>
      <c r="D312" s="325"/>
      <c r="E312" s="326"/>
      <c r="G312" s="231"/>
      <c r="H312" s="274"/>
      <c r="I312" s="273"/>
      <c r="J312" s="273"/>
      <c r="K312" s="273"/>
      <c r="M312" s="273"/>
    </row>
    <row r="313" spans="1:13" s="272" customFormat="1" ht="15" hidden="1">
      <c r="A313" s="270"/>
      <c r="B313" s="271"/>
      <c r="C313" s="324"/>
      <c r="D313" s="325"/>
      <c r="E313" s="326"/>
      <c r="G313" s="231"/>
      <c r="H313" s="274"/>
      <c r="I313" s="273"/>
      <c r="J313" s="273"/>
      <c r="K313" s="273"/>
      <c r="M313" s="273"/>
    </row>
    <row r="314" spans="1:13" s="272" customFormat="1" ht="15" hidden="1">
      <c r="A314" s="270"/>
      <c r="B314" s="271"/>
      <c r="C314" s="324"/>
      <c r="D314" s="325"/>
      <c r="E314" s="326"/>
      <c r="F314" s="273"/>
      <c r="G314" s="231"/>
      <c r="H314" s="274"/>
      <c r="I314" s="273"/>
      <c r="J314" s="273"/>
      <c r="K314" s="273"/>
      <c r="M314" s="273"/>
    </row>
    <row r="315" spans="1:6" ht="13.5" customHeight="1" hidden="1">
      <c r="A315" s="254"/>
      <c r="B315" s="256"/>
      <c r="C315" s="347"/>
      <c r="D315" s="348"/>
      <c r="E315" s="349"/>
      <c r="F315" s="240"/>
    </row>
    <row r="316" spans="1:6" ht="13.5" customHeight="1" hidden="1">
      <c r="A316" s="237"/>
      <c r="B316" s="256"/>
      <c r="C316" s="347"/>
      <c r="D316" s="348"/>
      <c r="E316" s="349"/>
      <c r="F316" s="240"/>
    </row>
    <row r="317" spans="1:6" ht="15.75" customHeight="1" hidden="1">
      <c r="A317" s="237"/>
      <c r="B317" s="256"/>
      <c r="C317" s="347"/>
      <c r="D317" s="348"/>
      <c r="E317" s="349"/>
      <c r="F317" s="240"/>
    </row>
    <row r="318" spans="1:6" ht="13.5" customHeight="1" hidden="1">
      <c r="A318" s="237"/>
      <c r="B318" s="256"/>
      <c r="C318" s="347"/>
      <c r="D318" s="348"/>
      <c r="E318" s="349"/>
      <c r="F318" s="240"/>
    </row>
    <row r="319" spans="1:6" ht="13.5" customHeight="1" hidden="1">
      <c r="A319" s="237"/>
      <c r="B319" s="256"/>
      <c r="C319" s="347"/>
      <c r="D319" s="348"/>
      <c r="E319" s="349"/>
      <c r="F319" s="240"/>
    </row>
    <row r="320" spans="1:6" ht="13.5" customHeight="1" hidden="1">
      <c r="A320" s="237"/>
      <c r="B320" s="256"/>
      <c r="C320" s="347"/>
      <c r="D320" s="348"/>
      <c r="E320" s="349"/>
      <c r="F320" s="240"/>
    </row>
    <row r="321" spans="1:6" ht="14.25" customHeight="1" hidden="1">
      <c r="A321" s="237"/>
      <c r="B321" s="256"/>
      <c r="C321" s="347"/>
      <c r="D321" s="348"/>
      <c r="E321" s="349"/>
      <c r="F321" s="240"/>
    </row>
    <row r="322" spans="1:6" ht="13.5" customHeight="1" hidden="1">
      <c r="A322" s="234"/>
      <c r="B322" s="256"/>
      <c r="C322" s="321"/>
      <c r="D322" s="348"/>
      <c r="E322" s="349"/>
      <c r="F322" s="240"/>
    </row>
    <row r="323" spans="1:6" ht="13.5" customHeight="1" hidden="1">
      <c r="A323" s="254"/>
      <c r="B323" s="256"/>
      <c r="C323" s="347"/>
      <c r="D323" s="348"/>
      <c r="E323" s="349"/>
      <c r="F323" s="240"/>
    </row>
    <row r="324" spans="1:6" ht="13.5" customHeight="1" hidden="1">
      <c r="A324" s="254"/>
      <c r="B324" s="256"/>
      <c r="C324" s="348"/>
      <c r="D324" s="348"/>
      <c r="E324" s="349"/>
      <c r="F324" s="240"/>
    </row>
    <row r="325" spans="1:6" ht="13.5" customHeight="1" hidden="1">
      <c r="A325" s="237"/>
      <c r="B325" s="256"/>
      <c r="C325" s="348"/>
      <c r="D325" s="348"/>
      <c r="E325" s="349"/>
      <c r="F325" s="240"/>
    </row>
    <row r="326" spans="1:6" ht="13.5" customHeight="1" hidden="1">
      <c r="A326" s="237"/>
      <c r="B326" s="256"/>
      <c r="C326" s="347"/>
      <c r="D326" s="348"/>
      <c r="E326" s="349"/>
      <c r="F326" s="240"/>
    </row>
    <row r="327" spans="1:6" ht="15.75" hidden="1" thickBot="1">
      <c r="A327" s="244"/>
      <c r="B327" s="256"/>
      <c r="C327" s="321"/>
      <c r="D327" s="319"/>
      <c r="E327" s="320"/>
      <c r="F327" s="240"/>
    </row>
    <row r="328" spans="1:6" ht="18" customHeight="1" hidden="1" thickBot="1">
      <c r="A328" s="241"/>
      <c r="B328" s="243"/>
      <c r="C328" s="327"/>
      <c r="D328" s="327"/>
      <c r="E328" s="327"/>
      <c r="F328" s="240"/>
    </row>
    <row r="329" spans="1:5" ht="15.75" customHeight="1" hidden="1" thickBot="1">
      <c r="A329" s="568"/>
      <c r="B329" s="569"/>
      <c r="C329" s="569"/>
      <c r="D329" s="569"/>
      <c r="E329" s="569"/>
    </row>
    <row r="330" spans="1:5" ht="13.5" customHeight="1" hidden="1">
      <c r="A330" s="254"/>
      <c r="B330" s="256"/>
      <c r="C330" s="339"/>
      <c r="D330" s="337"/>
      <c r="E330" s="338"/>
    </row>
    <row r="331" spans="1:11" s="275" customFormat="1" ht="45.75" customHeight="1" hidden="1">
      <c r="A331" s="270"/>
      <c r="B331" s="271"/>
      <c r="C331" s="324"/>
      <c r="D331" s="325"/>
      <c r="E331" s="326"/>
      <c r="G331" s="231"/>
      <c r="I331" s="276"/>
      <c r="J331" s="276"/>
      <c r="K331" s="276"/>
    </row>
    <row r="332" spans="1:11" s="275" customFormat="1" ht="31.5" customHeight="1" hidden="1">
      <c r="A332" s="270"/>
      <c r="B332" s="271"/>
      <c r="C332" s="324"/>
      <c r="D332" s="325"/>
      <c r="E332" s="326"/>
      <c r="F332" s="276"/>
      <c r="G332" s="231"/>
      <c r="I332" s="276"/>
      <c r="J332" s="276"/>
      <c r="K332" s="276"/>
    </row>
    <row r="333" spans="1:11" s="275" customFormat="1" ht="33" customHeight="1" hidden="1">
      <c r="A333" s="270"/>
      <c r="B333" s="271"/>
      <c r="C333" s="324"/>
      <c r="D333" s="325"/>
      <c r="E333" s="326"/>
      <c r="F333" s="276"/>
      <c r="G333" s="231"/>
      <c r="I333" s="276"/>
      <c r="J333" s="276"/>
      <c r="K333" s="276"/>
    </row>
    <row r="334" spans="1:5" ht="13.5" customHeight="1" hidden="1">
      <c r="A334" s="254"/>
      <c r="B334" s="256"/>
      <c r="C334" s="339"/>
      <c r="D334" s="337"/>
      <c r="E334" s="338"/>
    </row>
    <row r="335" spans="1:13" s="272" customFormat="1" ht="15" hidden="1">
      <c r="A335" s="270"/>
      <c r="B335" s="271"/>
      <c r="C335" s="324"/>
      <c r="D335" s="325"/>
      <c r="E335" s="326"/>
      <c r="G335" s="231"/>
      <c r="H335" s="274"/>
      <c r="I335" s="273"/>
      <c r="J335" s="273"/>
      <c r="K335" s="273"/>
      <c r="M335" s="273"/>
    </row>
    <row r="336" spans="1:13" s="272" customFormat="1" ht="15" hidden="1">
      <c r="A336" s="270"/>
      <c r="B336" s="271"/>
      <c r="C336" s="324"/>
      <c r="D336" s="325"/>
      <c r="E336" s="326"/>
      <c r="G336" s="231"/>
      <c r="H336" s="274"/>
      <c r="I336" s="273"/>
      <c r="J336" s="273"/>
      <c r="K336" s="273"/>
      <c r="M336" s="273"/>
    </row>
    <row r="337" spans="1:13" s="272" customFormat="1" ht="15" hidden="1">
      <c r="A337" s="270"/>
      <c r="B337" s="271"/>
      <c r="C337" s="324"/>
      <c r="D337" s="325"/>
      <c r="E337" s="326"/>
      <c r="G337" s="231"/>
      <c r="H337" s="274"/>
      <c r="I337" s="273"/>
      <c r="J337" s="273"/>
      <c r="K337" s="273"/>
      <c r="M337" s="273"/>
    </row>
    <row r="338" spans="1:13" s="272" customFormat="1" ht="15" hidden="1">
      <c r="A338" s="270"/>
      <c r="B338" s="271"/>
      <c r="C338" s="324"/>
      <c r="D338" s="325"/>
      <c r="E338" s="326"/>
      <c r="F338" s="273"/>
      <c r="G338" s="231"/>
      <c r="H338" s="274"/>
      <c r="I338" s="273"/>
      <c r="J338" s="273"/>
      <c r="K338" s="273"/>
      <c r="M338" s="273"/>
    </row>
    <row r="339" spans="1:6" ht="13.5" customHeight="1" hidden="1">
      <c r="A339" s="254"/>
      <c r="B339" s="256"/>
      <c r="C339" s="339"/>
      <c r="D339" s="337"/>
      <c r="E339" s="338"/>
      <c r="F339" s="240"/>
    </row>
    <row r="340" spans="1:6" ht="13.5" customHeight="1" hidden="1">
      <c r="A340" s="254"/>
      <c r="B340" s="256"/>
      <c r="C340" s="339"/>
      <c r="D340" s="337"/>
      <c r="E340" s="338"/>
      <c r="F340" s="240"/>
    </row>
    <row r="341" spans="1:6" ht="13.5" customHeight="1" hidden="1">
      <c r="A341" s="254"/>
      <c r="B341" s="256"/>
      <c r="C341" s="339"/>
      <c r="D341" s="337"/>
      <c r="E341" s="338"/>
      <c r="F341" s="240"/>
    </row>
    <row r="342" spans="1:6" ht="14.25" customHeight="1" hidden="1">
      <c r="A342" s="254"/>
      <c r="B342" s="256"/>
      <c r="C342" s="339"/>
      <c r="D342" s="337"/>
      <c r="E342" s="338"/>
      <c r="F342" s="240"/>
    </row>
    <row r="343" spans="1:7" s="248" customFormat="1" ht="13.5" customHeight="1" hidden="1">
      <c r="A343" s="254"/>
      <c r="B343" s="256"/>
      <c r="C343" s="339"/>
      <c r="D343" s="337"/>
      <c r="E343" s="338"/>
      <c r="F343" s="240"/>
      <c r="G343" s="231"/>
    </row>
    <row r="344" spans="1:6" ht="13.5" customHeight="1" hidden="1">
      <c r="A344" s="254"/>
      <c r="B344" s="256"/>
      <c r="C344" s="339"/>
      <c r="D344" s="337"/>
      <c r="E344" s="338"/>
      <c r="F344" s="240"/>
    </row>
    <row r="345" spans="1:7" s="248" customFormat="1" ht="13.5" customHeight="1" hidden="1">
      <c r="A345" s="254"/>
      <c r="B345" s="256"/>
      <c r="C345" s="339"/>
      <c r="D345" s="337"/>
      <c r="E345" s="338"/>
      <c r="F345" s="240"/>
      <c r="G345" s="231"/>
    </row>
    <row r="346" spans="1:6" ht="13.5" customHeight="1" hidden="1">
      <c r="A346" s="244"/>
      <c r="B346" s="256"/>
      <c r="C346" s="336"/>
      <c r="D346" s="337"/>
      <c r="E346" s="338"/>
      <c r="F346" s="240"/>
    </row>
    <row r="347" spans="1:6" ht="13.5" customHeight="1" hidden="1">
      <c r="A347" s="254"/>
      <c r="B347" s="256"/>
      <c r="C347" s="339"/>
      <c r="D347" s="337"/>
      <c r="E347" s="338"/>
      <c r="F347" s="240"/>
    </row>
    <row r="348" spans="1:6" ht="13.5" customHeight="1" hidden="1">
      <c r="A348" s="254"/>
      <c r="B348" s="256"/>
      <c r="C348" s="339"/>
      <c r="D348" s="337"/>
      <c r="E348" s="338"/>
      <c r="F348" s="240"/>
    </row>
    <row r="349" spans="1:6" ht="16.5" customHeight="1" hidden="1">
      <c r="A349" s="254"/>
      <c r="B349" s="256"/>
      <c r="C349" s="339"/>
      <c r="D349" s="337"/>
      <c r="E349" s="338"/>
      <c r="F349" s="240"/>
    </row>
    <row r="350" spans="1:6" ht="15.75" hidden="1" thickBot="1">
      <c r="A350" s="254"/>
      <c r="B350" s="256"/>
      <c r="C350" s="339"/>
      <c r="D350" s="337"/>
      <c r="E350" s="338"/>
      <c r="F350" s="240"/>
    </row>
    <row r="351" spans="1:8" ht="19.5" customHeight="1" hidden="1" thickBot="1">
      <c r="A351" s="241"/>
      <c r="B351" s="243"/>
      <c r="C351" s="327"/>
      <c r="D351" s="327"/>
      <c r="E351" s="328"/>
      <c r="F351" s="240"/>
      <c r="H351" s="240"/>
    </row>
    <row r="352" spans="1:5" ht="18.75" customHeight="1" thickBot="1">
      <c r="A352" s="568" t="s">
        <v>427</v>
      </c>
      <c r="B352" s="569"/>
      <c r="C352" s="569"/>
      <c r="D352" s="569"/>
      <c r="E352" s="569"/>
    </row>
    <row r="353" spans="1:5" ht="18.75" customHeight="1" thickBot="1">
      <c r="A353" s="234" t="s">
        <v>43</v>
      </c>
      <c r="B353" s="256">
        <f>ROUND(C353+D353+E353*2.9,0)</f>
        <v>2418</v>
      </c>
      <c r="C353" s="318">
        <v>189</v>
      </c>
      <c r="D353" s="319">
        <v>164</v>
      </c>
      <c r="E353" s="320">
        <v>712</v>
      </c>
    </row>
    <row r="354" spans="1:5" ht="18.75" customHeight="1" thickBot="1">
      <c r="A354" s="241" t="s">
        <v>7</v>
      </c>
      <c r="B354" s="242">
        <f>SUM(B353:B353)</f>
        <v>2418</v>
      </c>
      <c r="C354" s="327">
        <f>SUM(C353:C353)</f>
        <v>189</v>
      </c>
      <c r="D354" s="327">
        <f>SUM(D353:D353)</f>
        <v>164</v>
      </c>
      <c r="E354" s="327">
        <f>SUM(E353:E353)</f>
        <v>712</v>
      </c>
    </row>
    <row r="355" spans="1:5" ht="18" customHeight="1" thickBot="1">
      <c r="A355" s="568" t="s">
        <v>428</v>
      </c>
      <c r="B355" s="569"/>
      <c r="C355" s="569"/>
      <c r="D355" s="569"/>
      <c r="E355" s="569"/>
    </row>
    <row r="356" spans="1:5" ht="13.5" customHeight="1" thickBot="1">
      <c r="A356" s="264" t="s">
        <v>43</v>
      </c>
      <c r="B356" s="256">
        <f>ROUND(C356+D356+E356*2.9,0)</f>
        <v>1978</v>
      </c>
      <c r="C356" s="329">
        <v>945</v>
      </c>
      <c r="D356" s="330">
        <v>82</v>
      </c>
      <c r="E356" s="331">
        <v>328</v>
      </c>
    </row>
    <row r="357" spans="1:5" ht="13.5" customHeight="1" thickBot="1">
      <c r="A357" s="241" t="s">
        <v>7</v>
      </c>
      <c r="B357" s="242">
        <f>SUM(B356:B356)</f>
        <v>1978</v>
      </c>
      <c r="C357" s="327">
        <f>SUM(C356:C356)</f>
        <v>945</v>
      </c>
      <c r="D357" s="327">
        <f>SUM(D356:D356)</f>
        <v>82</v>
      </c>
      <c r="E357" s="327">
        <f>SUM(E356:E356)</f>
        <v>328</v>
      </c>
    </row>
    <row r="358" spans="1:5" ht="20.25" customHeight="1" thickBot="1">
      <c r="A358" s="568" t="s">
        <v>429</v>
      </c>
      <c r="B358" s="569"/>
      <c r="C358" s="569"/>
      <c r="D358" s="569"/>
      <c r="E358" s="569"/>
    </row>
    <row r="359" spans="1:13" ht="13.5" customHeight="1">
      <c r="A359" s="234" t="s">
        <v>43</v>
      </c>
      <c r="B359" s="265">
        <f>ROUND(C359+D359+E359*2.9,0)</f>
        <v>11306</v>
      </c>
      <c r="C359" s="563">
        <v>5849</v>
      </c>
      <c r="D359" s="564">
        <v>260</v>
      </c>
      <c r="E359" s="565">
        <v>1792</v>
      </c>
      <c r="F359" s="232"/>
      <c r="H359" s="232"/>
      <c r="K359" s="232"/>
      <c r="L359" s="232"/>
      <c r="M359" s="232"/>
    </row>
    <row r="360" spans="1:13" ht="18.75" customHeight="1" thickBot="1">
      <c r="A360" s="266" t="s">
        <v>44</v>
      </c>
      <c r="B360" s="267">
        <f>ROUND(C360+D360+E360*2.9,0)</f>
        <v>7714</v>
      </c>
      <c r="C360" s="566">
        <v>3759</v>
      </c>
      <c r="D360" s="564">
        <v>185</v>
      </c>
      <c r="E360" s="565">
        <v>1300</v>
      </c>
      <c r="F360" s="232"/>
      <c r="H360" s="232"/>
      <c r="K360" s="232"/>
      <c r="L360" s="232"/>
      <c r="M360" s="232"/>
    </row>
    <row r="361" spans="1:8" ht="18.75" customHeight="1" thickBot="1">
      <c r="A361" s="241" t="s">
        <v>7</v>
      </c>
      <c r="B361" s="242">
        <f>SUM(B359:B360)</f>
        <v>19020</v>
      </c>
      <c r="C361" s="243">
        <f>SUM(C359:C360)</f>
        <v>9608</v>
      </c>
      <c r="D361" s="243">
        <f>SUM(D359:D360)</f>
        <v>445</v>
      </c>
      <c r="E361" s="368">
        <f>SUM(E359:E360)</f>
        <v>3092</v>
      </c>
      <c r="F361" s="232"/>
      <c r="H361" s="232"/>
    </row>
    <row r="362" spans="1:6" ht="18.75" customHeight="1" thickBot="1">
      <c r="A362" s="568" t="s">
        <v>430</v>
      </c>
      <c r="B362" s="569"/>
      <c r="C362" s="569"/>
      <c r="D362" s="569"/>
      <c r="E362" s="569"/>
      <c r="F362" s="238"/>
    </row>
    <row r="363" spans="1:13" ht="15.75" customHeight="1">
      <c r="A363" s="234" t="s">
        <v>43</v>
      </c>
      <c r="B363" s="265">
        <f>ROUND(C363+D363+E363*2.9,0)</f>
        <v>16020</v>
      </c>
      <c r="C363" s="563">
        <v>8133</v>
      </c>
      <c r="D363" s="564">
        <v>860</v>
      </c>
      <c r="E363" s="565">
        <v>2423</v>
      </c>
      <c r="K363" s="232"/>
      <c r="L363" s="232"/>
      <c r="M363" s="232"/>
    </row>
    <row r="364" spans="1:13" ht="15.75" customHeight="1" thickBot="1">
      <c r="A364" s="266" t="s">
        <v>44</v>
      </c>
      <c r="B364" s="267">
        <f>ROUND(C364+D364+E364*2.9,0)-1</f>
        <v>9988</v>
      </c>
      <c r="C364" s="566">
        <v>5157</v>
      </c>
      <c r="D364" s="564">
        <v>470</v>
      </c>
      <c r="E364" s="565">
        <v>1504</v>
      </c>
      <c r="K364" s="232"/>
      <c r="L364" s="232"/>
      <c r="M364" s="232"/>
    </row>
    <row r="365" spans="1:8" ht="15.75" customHeight="1" thickBot="1">
      <c r="A365" s="241" t="s">
        <v>7</v>
      </c>
      <c r="B365" s="242">
        <f>SUM(B363:B364)</f>
        <v>26008</v>
      </c>
      <c r="C365" s="327">
        <f>SUM(C363:C364)</f>
        <v>13290</v>
      </c>
      <c r="D365" s="327">
        <f>SUM(D363:D364)</f>
        <v>1330</v>
      </c>
      <c r="E365" s="328">
        <f>SUM(E363:E364)</f>
        <v>3927</v>
      </c>
      <c r="F365" s="232"/>
      <c r="H365" s="232"/>
    </row>
    <row r="366" spans="1:6" ht="15" customHeight="1" thickBot="1">
      <c r="A366" s="568" t="s">
        <v>431</v>
      </c>
      <c r="B366" s="569"/>
      <c r="C366" s="569"/>
      <c r="D366" s="569"/>
      <c r="E366" s="569"/>
      <c r="F366" s="238"/>
    </row>
    <row r="367" spans="1:6" ht="15.75" customHeight="1">
      <c r="A367" s="254" t="s">
        <v>70</v>
      </c>
      <c r="B367" s="256">
        <f aca="true" t="shared" si="9" ref="B367:B373">ROUND(C367+D367+E367*2.9,0)</f>
        <v>600</v>
      </c>
      <c r="C367" s="369">
        <v>136</v>
      </c>
      <c r="D367" s="370">
        <v>0</v>
      </c>
      <c r="E367" s="371">
        <v>160</v>
      </c>
      <c r="F367" s="238"/>
    </row>
    <row r="368" spans="1:6" ht="15.75" customHeight="1">
      <c r="A368" s="244" t="s">
        <v>359</v>
      </c>
      <c r="B368" s="257">
        <f t="shared" si="9"/>
        <v>200</v>
      </c>
      <c r="C368" s="369">
        <v>55</v>
      </c>
      <c r="D368" s="370">
        <v>0</v>
      </c>
      <c r="E368" s="371">
        <v>50</v>
      </c>
      <c r="F368" s="238"/>
    </row>
    <row r="369" spans="1:6" ht="15.75" customHeight="1">
      <c r="A369" s="244" t="s">
        <v>1</v>
      </c>
      <c r="B369" s="257">
        <f t="shared" si="9"/>
        <v>200</v>
      </c>
      <c r="C369" s="369">
        <v>55</v>
      </c>
      <c r="D369" s="370">
        <v>0</v>
      </c>
      <c r="E369" s="371">
        <v>50</v>
      </c>
      <c r="F369" s="238"/>
    </row>
    <row r="370" spans="1:6" ht="15.75" customHeight="1">
      <c r="A370" s="244" t="s">
        <v>33</v>
      </c>
      <c r="B370" s="257">
        <f t="shared" si="9"/>
        <v>350</v>
      </c>
      <c r="C370" s="369">
        <v>89</v>
      </c>
      <c r="D370" s="370">
        <v>0</v>
      </c>
      <c r="E370" s="371">
        <v>90</v>
      </c>
      <c r="F370" s="238"/>
    </row>
    <row r="371" spans="1:6" ht="15.75" customHeight="1">
      <c r="A371" s="244" t="s">
        <v>64</v>
      </c>
      <c r="B371" s="257">
        <f t="shared" si="9"/>
        <v>350</v>
      </c>
      <c r="C371" s="369">
        <v>89</v>
      </c>
      <c r="D371" s="370">
        <v>0</v>
      </c>
      <c r="E371" s="371">
        <v>90</v>
      </c>
      <c r="F371" s="238"/>
    </row>
    <row r="372" spans="1:6" ht="15.75" customHeight="1">
      <c r="A372" s="244" t="s">
        <v>78</v>
      </c>
      <c r="B372" s="257">
        <f t="shared" si="9"/>
        <v>100</v>
      </c>
      <c r="C372" s="382">
        <v>13</v>
      </c>
      <c r="D372" s="370">
        <v>0</v>
      </c>
      <c r="E372" s="371">
        <v>30</v>
      </c>
      <c r="F372" s="238"/>
    </row>
    <row r="373" spans="1:13" ht="18.75" customHeight="1" thickBot="1">
      <c r="A373" s="234" t="s">
        <v>43</v>
      </c>
      <c r="B373" s="246">
        <f t="shared" si="9"/>
        <v>12686</v>
      </c>
      <c r="C373" s="364">
        <v>6170</v>
      </c>
      <c r="D373" s="365">
        <v>0</v>
      </c>
      <c r="E373" s="366">
        <v>2247</v>
      </c>
      <c r="K373" s="232"/>
      <c r="L373" s="232"/>
      <c r="M373" s="232"/>
    </row>
    <row r="374" spans="1:8" ht="18.75" customHeight="1" thickBot="1">
      <c r="A374" s="241" t="s">
        <v>7</v>
      </c>
      <c r="B374" s="242">
        <f>SUM(B367:B373)</f>
        <v>14486</v>
      </c>
      <c r="C374" s="243">
        <f>SUM(C367:C373)</f>
        <v>6607</v>
      </c>
      <c r="D374" s="243">
        <f>SUM(D367:D373)</f>
        <v>0</v>
      </c>
      <c r="E374" s="368">
        <f>SUM(E367:E373)</f>
        <v>2717</v>
      </c>
      <c r="F374" s="232"/>
      <c r="H374" s="232"/>
    </row>
    <row r="375" spans="1:6" ht="21.75" customHeight="1" thickBot="1">
      <c r="A375" s="568" t="s">
        <v>432</v>
      </c>
      <c r="B375" s="569"/>
      <c r="C375" s="569"/>
      <c r="D375" s="569"/>
      <c r="E375" s="569"/>
      <c r="F375" s="238"/>
    </row>
    <row r="376" spans="1:5" ht="19.5" customHeight="1" thickBot="1">
      <c r="A376" s="264" t="s">
        <v>43</v>
      </c>
      <c r="B376" s="265">
        <f>ROUND(C376+D376+E376*2.9,0)</f>
        <v>4131</v>
      </c>
      <c r="C376" s="329">
        <v>4131</v>
      </c>
      <c r="D376" s="330">
        <v>0</v>
      </c>
      <c r="E376" s="331">
        <v>0</v>
      </c>
    </row>
    <row r="377" spans="1:5" ht="18.75" customHeight="1" thickBot="1">
      <c r="A377" s="241" t="s">
        <v>7</v>
      </c>
      <c r="B377" s="242">
        <f>SUM(B376:B376)</f>
        <v>4131</v>
      </c>
      <c r="C377" s="327">
        <f>SUM(C376:C376)</f>
        <v>4131</v>
      </c>
      <c r="D377" s="327">
        <f>SUM(D376:D376)</f>
        <v>0</v>
      </c>
      <c r="E377" s="328">
        <f>SUM(E376:E376)</f>
        <v>0</v>
      </c>
    </row>
    <row r="378" spans="1:5" ht="19.5" customHeight="1" thickBot="1">
      <c r="A378" s="568" t="s">
        <v>433</v>
      </c>
      <c r="B378" s="569"/>
      <c r="C378" s="569"/>
      <c r="D378" s="569"/>
      <c r="E378" s="569"/>
    </row>
    <row r="379" spans="1:13" ht="13.5" customHeight="1">
      <c r="A379" s="234" t="s">
        <v>43</v>
      </c>
      <c r="B379" s="265">
        <f>ROUND(C379+D379+E379*2.9,0)</f>
        <v>2048</v>
      </c>
      <c r="C379" s="563">
        <v>893</v>
      </c>
      <c r="D379" s="564">
        <v>56</v>
      </c>
      <c r="E379" s="565">
        <v>379</v>
      </c>
      <c r="K379" s="232"/>
      <c r="L379" s="232"/>
      <c r="M379" s="232"/>
    </row>
    <row r="380" spans="1:13" ht="21" customHeight="1" thickBot="1">
      <c r="A380" s="266" t="s">
        <v>44</v>
      </c>
      <c r="B380" s="265">
        <f>ROUND(C380+D380+E380*2.9,0)</f>
        <v>786</v>
      </c>
      <c r="C380" s="566">
        <v>221</v>
      </c>
      <c r="D380" s="564">
        <v>14</v>
      </c>
      <c r="E380" s="567">
        <v>190</v>
      </c>
      <c r="F380" s="232"/>
      <c r="K380" s="232"/>
      <c r="L380" s="232"/>
      <c r="M380" s="232"/>
    </row>
    <row r="381" spans="1:8" ht="18.75" customHeight="1" thickBot="1">
      <c r="A381" s="241" t="s">
        <v>7</v>
      </c>
      <c r="B381" s="242">
        <f>SUM(B379:B380)</f>
        <v>2834</v>
      </c>
      <c r="C381" s="327">
        <f>SUM(C379:C380)</f>
        <v>1114</v>
      </c>
      <c r="D381" s="327">
        <f>SUM(D379:D380)</f>
        <v>70</v>
      </c>
      <c r="E381" s="328">
        <f>SUM(E379:E380)</f>
        <v>569</v>
      </c>
      <c r="F381" s="232"/>
      <c r="H381" s="232"/>
    </row>
    <row r="382" spans="1:13" ht="18.75" customHeight="1" thickBot="1">
      <c r="A382" s="568" t="s">
        <v>434</v>
      </c>
      <c r="B382" s="569"/>
      <c r="C382" s="569"/>
      <c r="D382" s="569"/>
      <c r="E382" s="569"/>
      <c r="F382" s="238"/>
      <c r="K382" s="232"/>
      <c r="L382" s="232"/>
      <c r="M382" s="232"/>
    </row>
    <row r="383" spans="1:5" ht="18.75" customHeight="1" thickBot="1">
      <c r="A383" s="264" t="s">
        <v>72</v>
      </c>
      <c r="B383" s="265">
        <f>ROUND(C383+D383+E383*2.9,0)</f>
        <v>580</v>
      </c>
      <c r="C383" s="329">
        <v>0</v>
      </c>
      <c r="D383" s="330">
        <v>0</v>
      </c>
      <c r="E383" s="374">
        <v>200</v>
      </c>
    </row>
    <row r="384" spans="1:5" ht="18.75" customHeight="1" thickBot="1">
      <c r="A384" s="241" t="s">
        <v>7</v>
      </c>
      <c r="B384" s="242">
        <f>SUM(B383:B383)</f>
        <v>580</v>
      </c>
      <c r="C384" s="327">
        <f>SUM(C383:C383)</f>
        <v>0</v>
      </c>
      <c r="D384" s="327">
        <f>SUM(D383:D383)</f>
        <v>0</v>
      </c>
      <c r="E384" s="328">
        <f>SUM(E383:E383)</f>
        <v>200</v>
      </c>
    </row>
    <row r="385" spans="1:5" ht="18.75" customHeight="1" thickBot="1">
      <c r="A385" s="568" t="s">
        <v>435</v>
      </c>
      <c r="B385" s="569"/>
      <c r="C385" s="569"/>
      <c r="D385" s="569"/>
      <c r="E385" s="569"/>
    </row>
    <row r="386" spans="1:5" ht="18.75" customHeight="1" thickBot="1">
      <c r="A386" s="264" t="s">
        <v>72</v>
      </c>
      <c r="B386" s="265">
        <f>ROUND(C386+D386+E386*2.9,0)</f>
        <v>6</v>
      </c>
      <c r="C386" s="329">
        <v>6</v>
      </c>
      <c r="D386" s="330">
        <v>0</v>
      </c>
      <c r="E386" s="374">
        <v>0</v>
      </c>
    </row>
    <row r="387" spans="1:5" ht="18.75" customHeight="1" thickBot="1">
      <c r="A387" s="241" t="s">
        <v>7</v>
      </c>
      <c r="B387" s="242">
        <f>SUM(B386:B386)</f>
        <v>6</v>
      </c>
      <c r="C387" s="327">
        <f>SUM(C386:C386)</f>
        <v>6</v>
      </c>
      <c r="D387" s="327">
        <f>SUM(D386:D386)</f>
        <v>0</v>
      </c>
      <c r="E387" s="328">
        <f>SUM(E386:E386)</f>
        <v>0</v>
      </c>
    </row>
    <row r="388" spans="1:5" ht="31.5" customHeight="1" thickBot="1">
      <c r="A388" s="568" t="s">
        <v>436</v>
      </c>
      <c r="B388" s="569"/>
      <c r="C388" s="569"/>
      <c r="D388" s="569"/>
      <c r="E388" s="569"/>
    </row>
    <row r="389" spans="1:9" ht="29.25" customHeight="1" thickBot="1">
      <c r="A389" s="241" t="s">
        <v>207</v>
      </c>
      <c r="B389" s="288">
        <f>ROUND(C389+D389+E389*2.9,0)</f>
        <v>21028</v>
      </c>
      <c r="C389" s="327">
        <v>8331</v>
      </c>
      <c r="D389" s="327">
        <v>2115</v>
      </c>
      <c r="E389" s="328">
        <v>3649</v>
      </c>
      <c r="F389" s="232"/>
      <c r="G389" s="232"/>
      <c r="H389" s="232"/>
      <c r="I389" s="232"/>
    </row>
    <row r="390" spans="1:15" ht="29.25" thickBot="1">
      <c r="A390" s="268" t="s">
        <v>14</v>
      </c>
      <c r="B390" s="350">
        <f>B381+B377+B374+B365+B361+B357+B354+B351+B328+B304+B284+B262+B243+B225+B204+B181+B176+B134+B112+B91+B87+B75+B120+B384+B389+B387</f>
        <v>1173506</v>
      </c>
      <c r="C390" s="350">
        <f>C381+C377+C374+C365+C361+C357+C354+C351+C328+C304+C284+C262+C243+C225+C204+C181+C176+C134+C112+C91+C87+C75+C120+C384+C389+C387</f>
        <v>402427</v>
      </c>
      <c r="D390" s="350">
        <f>D381+D377+D374+D365+D361+D357+D354+D351+D328+D304+D284+D262+D243+D225+D204+D181+D176+D134+D112+D91+D87+D75+D120+D384+D389+D387</f>
        <v>72631</v>
      </c>
      <c r="E390" s="351">
        <f>E381+E377+E374+E365+E361+E357+E354+E351+E328+E304+E284+E262+E243+E225+E204+E181+E176+E134+E112+E91+E87+E75+E120+E384+E389+E387</f>
        <v>240844</v>
      </c>
      <c r="G390" s="232">
        <f>H390+I390+J390*2.9</f>
        <v>1173505.6</v>
      </c>
      <c r="H390" s="231">
        <f>35722+44575+286926+35204</f>
        <v>402427</v>
      </c>
      <c r="I390" s="231">
        <v>72631</v>
      </c>
      <c r="J390" s="231">
        <f>240447+397</f>
        <v>240844</v>
      </c>
      <c r="L390" s="232"/>
      <c r="M390" s="232"/>
      <c r="N390" s="232"/>
      <c r="O390" s="232"/>
    </row>
    <row r="391" spans="1:15" s="275" customFormat="1" ht="51" customHeight="1">
      <c r="A391" s="287" t="s">
        <v>383</v>
      </c>
      <c r="B391" s="271">
        <f>ROUND(C391+D391+E391*2.9,0)</f>
        <v>80297</v>
      </c>
      <c r="C391" s="324">
        <f>SUM(C392:C397)-C393</f>
        <v>80297</v>
      </c>
      <c r="D391" s="324">
        <f>SUM(D392:D397)-D393</f>
        <v>0</v>
      </c>
      <c r="E391" s="324">
        <f>SUM(E392:E397)-E393</f>
        <v>0</v>
      </c>
      <c r="F391" s="276"/>
      <c r="G391" s="273">
        <f>G390-B390</f>
        <v>-0.39999999990686774</v>
      </c>
      <c r="H391" s="273">
        <f>H390-C390</f>
        <v>0</v>
      </c>
      <c r="I391" s="273">
        <f>I390-D390</f>
        <v>0</v>
      </c>
      <c r="J391" s="273">
        <f>J390-E390</f>
        <v>0</v>
      </c>
      <c r="K391" s="276"/>
      <c r="L391" s="232"/>
      <c r="M391" s="232"/>
      <c r="N391" s="232"/>
      <c r="O391" s="232"/>
    </row>
    <row r="392" spans="1:15" s="275" customFormat="1" ht="30" customHeight="1">
      <c r="A392" s="270" t="s">
        <v>382</v>
      </c>
      <c r="B392" s="271">
        <f aca="true" t="shared" si="10" ref="B392:B397">ROUND(C392+D392+E392*2.9,0)</f>
        <v>44020</v>
      </c>
      <c r="C392" s="324">
        <f>C126+C140+C185+C208+C229+C247+C266+C288+C308+C332+C42</f>
        <v>44020</v>
      </c>
      <c r="D392" s="325">
        <f>D126+D140+D185+D208+D229+D247+D266+D288+D308+D332</f>
        <v>0</v>
      </c>
      <c r="E392" s="326">
        <f>E126+E140+E185+E208+E229+E247+E266+E288+E308+E332</f>
        <v>0</v>
      </c>
      <c r="F392" s="276"/>
      <c r="G392" s="273">
        <f>'1.1. ПРОФ.МЕРОПРИЯТИЯ'!E22</f>
        <v>44020</v>
      </c>
      <c r="H392" s="276"/>
      <c r="I392" s="276"/>
      <c r="J392" s="276"/>
      <c r="K392" s="276"/>
      <c r="L392" s="232"/>
      <c r="M392" s="232"/>
      <c r="N392" s="232"/>
      <c r="O392" s="232"/>
    </row>
    <row r="393" spans="1:15" s="275" customFormat="1" ht="23.25" customHeight="1">
      <c r="A393" s="270" t="s">
        <v>381</v>
      </c>
      <c r="B393" s="271">
        <f t="shared" si="10"/>
        <v>3020</v>
      </c>
      <c r="C393" s="324">
        <f>C127+C141+C186+C209+C230+C248+C267+C289+C309+C333+C43</f>
        <v>3020</v>
      </c>
      <c r="D393" s="325">
        <f>D127+D141+D186+D209+D230+D248+D267+D289+D309+D333</f>
        <v>0</v>
      </c>
      <c r="E393" s="326">
        <f>E127+E141+E186+E209+E230+E248+E267+E289+E309+E333</f>
        <v>0</v>
      </c>
      <c r="F393" s="276"/>
      <c r="G393" s="273">
        <f>'1.1. ПРОФ.МЕРОПРИЯТИЯ'!F22</f>
        <v>3020</v>
      </c>
      <c r="H393" s="276"/>
      <c r="I393" s="276"/>
      <c r="J393" s="276"/>
      <c r="K393" s="276"/>
      <c r="L393" s="232"/>
      <c r="M393" s="232"/>
      <c r="N393" s="232"/>
      <c r="O393" s="232"/>
    </row>
    <row r="394" spans="1:15" s="275" customFormat="1" ht="28.5" customHeight="1">
      <c r="A394" s="270" t="s">
        <v>206</v>
      </c>
      <c r="B394" s="271">
        <f t="shared" si="10"/>
        <v>9711</v>
      </c>
      <c r="C394" s="324">
        <f>C127+C142+C186+C209+C230+C248+C267+C289+C309+C333+C44</f>
        <v>9711</v>
      </c>
      <c r="D394" s="325">
        <f>D127+D142+D186+D209+D230+D248+D267+D289+D309+D333</f>
        <v>0</v>
      </c>
      <c r="E394" s="326">
        <f>E127+E142+E186+E209+E230+E248+E267+E289+E309+E333</f>
        <v>0</v>
      </c>
      <c r="F394" s="276"/>
      <c r="G394" s="273">
        <f>'1.1. ПРОФ.МЕРОПРИЯТИЯ'!I22</f>
        <v>9711</v>
      </c>
      <c r="H394" s="276"/>
      <c r="I394" s="276"/>
      <c r="J394" s="276"/>
      <c r="K394" s="276"/>
      <c r="L394" s="232"/>
      <c r="M394" s="232"/>
      <c r="N394" s="232"/>
      <c r="O394" s="232"/>
    </row>
    <row r="395" spans="1:15" s="272" customFormat="1" ht="30">
      <c r="A395" s="270" t="s">
        <v>148</v>
      </c>
      <c r="B395" s="271">
        <f t="shared" si="10"/>
        <v>250</v>
      </c>
      <c r="C395" s="324">
        <f>C96+C189+C212+C252+C270+C292+C312+C336+C233+C27</f>
        <v>250</v>
      </c>
      <c r="D395" s="325">
        <f aca="true" t="shared" si="11" ref="D395:E397">D96+D189+D212+D252+D270+D292+D312+D336+D233</f>
        <v>0</v>
      </c>
      <c r="E395" s="326">
        <f t="shared" si="11"/>
        <v>0</v>
      </c>
      <c r="G395" s="273">
        <f>'1.1. ПРОФ.МЕРОПРИЯТИЯ'!C22</f>
        <v>250</v>
      </c>
      <c r="H395" s="276"/>
      <c r="I395" s="273"/>
      <c r="J395" s="273"/>
      <c r="K395" s="273"/>
      <c r="L395" s="232"/>
      <c r="M395" s="232"/>
      <c r="N395" s="232"/>
      <c r="O395" s="232"/>
    </row>
    <row r="396" spans="1:15" s="272" customFormat="1" ht="28.5" customHeight="1">
      <c r="A396" s="270" t="s">
        <v>149</v>
      </c>
      <c r="B396" s="271">
        <f t="shared" si="10"/>
        <v>305</v>
      </c>
      <c r="C396" s="324">
        <f>C97+C190+C213+C253+C271+C293+C313+C337+C234+C28</f>
        <v>305</v>
      </c>
      <c r="D396" s="325">
        <f t="shared" si="11"/>
        <v>0</v>
      </c>
      <c r="E396" s="326">
        <f t="shared" si="11"/>
        <v>0</v>
      </c>
      <c r="G396" s="273">
        <f>'1.1. ПРОФ.МЕРОПРИЯТИЯ'!D22</f>
        <v>305</v>
      </c>
      <c r="H396" s="276"/>
      <c r="I396" s="273"/>
      <c r="J396" s="273"/>
      <c r="K396" s="273"/>
      <c r="L396" s="232"/>
      <c r="M396" s="232"/>
      <c r="N396" s="232"/>
      <c r="O396" s="232"/>
    </row>
    <row r="397" spans="1:15" s="272" customFormat="1" ht="30">
      <c r="A397" s="270" t="s">
        <v>150</v>
      </c>
      <c r="B397" s="271">
        <f t="shared" si="10"/>
        <v>26011</v>
      </c>
      <c r="C397" s="324">
        <f>C98+C191+C214+C254+C272+C294+C314+C338+C235+C29</f>
        <v>26011</v>
      </c>
      <c r="D397" s="325">
        <f t="shared" si="11"/>
        <v>0</v>
      </c>
      <c r="E397" s="326">
        <f t="shared" si="11"/>
        <v>0</v>
      </c>
      <c r="G397" s="273">
        <f>'1.1. ПРОФ.МЕРОПРИЯТИЯ'!H22</f>
        <v>26011</v>
      </c>
      <c r="H397" s="276"/>
      <c r="I397" s="273"/>
      <c r="J397" s="273"/>
      <c r="K397" s="273"/>
      <c r="L397" s="232"/>
      <c r="M397" s="232"/>
      <c r="N397" s="232"/>
      <c r="O397" s="232"/>
    </row>
    <row r="398" spans="1:7" s="262" customFormat="1" ht="30">
      <c r="A398" s="541" t="s">
        <v>384</v>
      </c>
      <c r="B398" s="522">
        <f>ROUND(C398+D398+E398*2.9,0)</f>
        <v>35204</v>
      </c>
      <c r="C398" s="534">
        <f>C177+C121+C76</f>
        <v>35204</v>
      </c>
      <c r="D398" s="324"/>
      <c r="E398" s="324"/>
      <c r="G398" s="269">
        <f>'1.2. Диспансерное наблюдение'!P22</f>
        <v>35204</v>
      </c>
    </row>
    <row r="399" spans="2:5" s="262" customFormat="1" ht="15">
      <c r="B399" s="269"/>
      <c r="C399" s="352"/>
      <c r="D399" s="352"/>
      <c r="E399" s="352"/>
    </row>
    <row r="400" spans="2:5" s="262" customFormat="1" ht="15">
      <c r="B400" s="269"/>
      <c r="C400" s="352">
        <f>C390-C391-C398</f>
        <v>286926</v>
      </c>
      <c r="D400" s="352"/>
      <c r="E400" s="352"/>
    </row>
    <row r="401" spans="2:5" s="262" customFormat="1" ht="15">
      <c r="B401" s="269"/>
      <c r="C401" s="352"/>
      <c r="D401" s="352"/>
      <c r="E401" s="352"/>
    </row>
    <row r="402" spans="3:5" s="262" customFormat="1" ht="15">
      <c r="C402" s="352"/>
      <c r="D402" s="353"/>
      <c r="E402" s="352"/>
    </row>
    <row r="403" spans="3:5" s="262" customFormat="1" ht="15">
      <c r="C403" s="353"/>
      <c r="D403" s="353"/>
      <c r="E403" s="352"/>
    </row>
    <row r="404" spans="3:5" s="262" customFormat="1" ht="15">
      <c r="C404" s="353"/>
      <c r="D404" s="353"/>
      <c r="E404" s="352"/>
    </row>
    <row r="405" spans="3:5" s="262" customFormat="1" ht="15">
      <c r="C405" s="353"/>
      <c r="D405" s="353"/>
      <c r="E405" s="352"/>
    </row>
    <row r="406" spans="3:5" s="262" customFormat="1" ht="15">
      <c r="C406" s="353"/>
      <c r="D406" s="353"/>
      <c r="E406" s="352"/>
    </row>
    <row r="407" spans="3:5" s="262" customFormat="1" ht="15">
      <c r="C407" s="353"/>
      <c r="D407" s="353"/>
      <c r="E407" s="352"/>
    </row>
    <row r="408" spans="3:5" s="262" customFormat="1" ht="15">
      <c r="C408" s="353"/>
      <c r="D408" s="353"/>
      <c r="E408" s="352"/>
    </row>
    <row r="409" spans="3:5" s="262" customFormat="1" ht="15">
      <c r="C409" s="353"/>
      <c r="D409" s="353"/>
      <c r="E409" s="352"/>
    </row>
    <row r="410" spans="3:5" s="262" customFormat="1" ht="15">
      <c r="C410" s="353"/>
      <c r="D410" s="353"/>
      <c r="E410" s="352"/>
    </row>
    <row r="411" spans="3:5" s="262" customFormat="1" ht="15">
      <c r="C411" s="353"/>
      <c r="D411" s="353"/>
      <c r="E411" s="352"/>
    </row>
    <row r="412" spans="3:5" s="262" customFormat="1" ht="15">
      <c r="C412" s="353"/>
      <c r="D412" s="353"/>
      <c r="E412" s="352"/>
    </row>
    <row r="413" spans="3:5" s="262" customFormat="1" ht="15">
      <c r="C413" s="353"/>
      <c r="D413" s="353"/>
      <c r="E413" s="352"/>
    </row>
    <row r="414" spans="3:5" s="262" customFormat="1" ht="15">
      <c r="C414" s="353"/>
      <c r="D414" s="353"/>
      <c r="E414" s="352"/>
    </row>
    <row r="415" spans="3:5" s="262" customFormat="1" ht="15">
      <c r="C415" s="353"/>
      <c r="D415" s="353"/>
      <c r="E415" s="352"/>
    </row>
    <row r="416" spans="3:5" s="262" customFormat="1" ht="15">
      <c r="C416" s="353"/>
      <c r="D416" s="353"/>
      <c r="E416" s="352"/>
    </row>
    <row r="417" spans="3:5" s="262" customFormat="1" ht="15">
      <c r="C417" s="353"/>
      <c r="D417" s="353"/>
      <c r="E417" s="352"/>
    </row>
    <row r="418" spans="3:5" s="262" customFormat="1" ht="15">
      <c r="C418" s="353"/>
      <c r="D418" s="353"/>
      <c r="E418" s="352"/>
    </row>
    <row r="419" spans="3:5" s="262" customFormat="1" ht="15">
      <c r="C419" s="353"/>
      <c r="D419" s="353"/>
      <c r="E419" s="352"/>
    </row>
    <row r="420" spans="3:5" s="262" customFormat="1" ht="15">
      <c r="C420" s="353"/>
      <c r="D420" s="353"/>
      <c r="E420" s="352"/>
    </row>
    <row r="421" spans="3:5" s="262" customFormat="1" ht="15">
      <c r="C421" s="353"/>
      <c r="D421" s="353"/>
      <c r="E421" s="352"/>
    </row>
    <row r="422" spans="3:5" s="262" customFormat="1" ht="15">
      <c r="C422" s="353"/>
      <c r="D422" s="353"/>
      <c r="E422" s="352"/>
    </row>
    <row r="423" spans="3:5" s="262" customFormat="1" ht="15">
      <c r="C423" s="353"/>
      <c r="D423" s="353"/>
      <c r="E423" s="352"/>
    </row>
    <row r="424" spans="3:5" s="262" customFormat="1" ht="15">
      <c r="C424" s="353"/>
      <c r="D424" s="353"/>
      <c r="E424" s="352"/>
    </row>
    <row r="425" spans="3:5" s="262" customFormat="1" ht="15">
      <c r="C425" s="353"/>
      <c r="D425" s="353"/>
      <c r="E425" s="352"/>
    </row>
    <row r="426" spans="3:5" s="262" customFormat="1" ht="15">
      <c r="C426" s="353"/>
      <c r="D426" s="353"/>
      <c r="E426" s="352"/>
    </row>
    <row r="427" spans="3:5" s="262" customFormat="1" ht="15">
      <c r="C427" s="353"/>
      <c r="D427" s="353"/>
      <c r="E427" s="352"/>
    </row>
    <row r="428" spans="3:5" s="262" customFormat="1" ht="15">
      <c r="C428" s="353"/>
      <c r="D428" s="353"/>
      <c r="E428" s="352"/>
    </row>
    <row r="429" spans="3:5" s="262" customFormat="1" ht="15">
      <c r="C429" s="353"/>
      <c r="D429" s="353"/>
      <c r="E429" s="352"/>
    </row>
    <row r="430" spans="3:5" s="262" customFormat="1" ht="15">
      <c r="C430" s="353"/>
      <c r="D430" s="353"/>
      <c r="E430" s="352"/>
    </row>
    <row r="431" spans="3:5" s="262" customFormat="1" ht="15">
      <c r="C431" s="353"/>
      <c r="D431" s="353"/>
      <c r="E431" s="352"/>
    </row>
    <row r="432" spans="3:5" s="262" customFormat="1" ht="15">
      <c r="C432" s="353"/>
      <c r="D432" s="353"/>
      <c r="E432" s="352"/>
    </row>
    <row r="433" spans="3:5" s="262" customFormat="1" ht="15">
      <c r="C433" s="353"/>
      <c r="D433" s="353"/>
      <c r="E433" s="352"/>
    </row>
    <row r="434" spans="3:5" s="262" customFormat="1" ht="15">
      <c r="C434" s="353"/>
      <c r="D434" s="353"/>
      <c r="E434" s="352"/>
    </row>
    <row r="435" spans="3:5" s="262" customFormat="1" ht="15">
      <c r="C435" s="353"/>
      <c r="D435" s="353"/>
      <c r="E435" s="352"/>
    </row>
    <row r="436" spans="3:5" s="262" customFormat="1" ht="15">
      <c r="C436" s="353"/>
      <c r="D436" s="353"/>
      <c r="E436" s="352"/>
    </row>
    <row r="437" spans="3:5" s="262" customFormat="1" ht="15">
      <c r="C437" s="353"/>
      <c r="D437" s="353"/>
      <c r="E437" s="352"/>
    </row>
    <row r="438" spans="3:5" s="262" customFormat="1" ht="15">
      <c r="C438" s="353"/>
      <c r="D438" s="353"/>
      <c r="E438" s="352"/>
    </row>
    <row r="439" spans="3:5" s="262" customFormat="1" ht="15">
      <c r="C439" s="353"/>
      <c r="D439" s="353"/>
      <c r="E439" s="352"/>
    </row>
    <row r="440" spans="3:5" s="262" customFormat="1" ht="15">
      <c r="C440" s="353"/>
      <c r="D440" s="353"/>
      <c r="E440" s="352"/>
    </row>
    <row r="441" spans="3:5" s="262" customFormat="1" ht="15">
      <c r="C441" s="353"/>
      <c r="D441" s="353"/>
      <c r="E441" s="352"/>
    </row>
    <row r="442" spans="3:5" s="262" customFormat="1" ht="15">
      <c r="C442" s="353"/>
      <c r="D442" s="353"/>
      <c r="E442" s="352"/>
    </row>
    <row r="443" spans="3:5" s="262" customFormat="1" ht="15">
      <c r="C443" s="353"/>
      <c r="D443" s="353"/>
      <c r="E443" s="352"/>
    </row>
    <row r="444" spans="3:5" s="262" customFormat="1" ht="15">
      <c r="C444" s="353"/>
      <c r="D444" s="353"/>
      <c r="E444" s="352"/>
    </row>
    <row r="445" spans="3:5" s="262" customFormat="1" ht="15">
      <c r="C445" s="353"/>
      <c r="D445" s="353"/>
      <c r="E445" s="352"/>
    </row>
    <row r="446" spans="3:5" s="262" customFormat="1" ht="15">
      <c r="C446" s="353"/>
      <c r="D446" s="353"/>
      <c r="E446" s="352"/>
    </row>
    <row r="447" spans="3:5" s="262" customFormat="1" ht="15">
      <c r="C447" s="353"/>
      <c r="D447" s="353"/>
      <c r="E447" s="352"/>
    </row>
    <row r="448" spans="3:5" s="262" customFormat="1" ht="15">
      <c r="C448" s="353"/>
      <c r="D448" s="353"/>
      <c r="E448" s="352"/>
    </row>
    <row r="449" spans="3:5" s="262" customFormat="1" ht="15">
      <c r="C449" s="353"/>
      <c r="D449" s="353"/>
      <c r="E449" s="352"/>
    </row>
    <row r="450" spans="3:5" s="262" customFormat="1" ht="15">
      <c r="C450" s="353"/>
      <c r="D450" s="353"/>
      <c r="E450" s="352"/>
    </row>
    <row r="451" spans="3:5" s="262" customFormat="1" ht="15">
      <c r="C451" s="353"/>
      <c r="D451" s="353"/>
      <c r="E451" s="352"/>
    </row>
    <row r="452" spans="3:5" s="262" customFormat="1" ht="15">
      <c r="C452" s="353"/>
      <c r="D452" s="353"/>
      <c r="E452" s="352"/>
    </row>
    <row r="453" spans="3:5" s="262" customFormat="1" ht="15">
      <c r="C453" s="353"/>
      <c r="D453" s="353"/>
      <c r="E453" s="352"/>
    </row>
    <row r="454" spans="3:5" s="262" customFormat="1" ht="15">
      <c r="C454" s="353"/>
      <c r="D454" s="353"/>
      <c r="E454" s="352"/>
    </row>
    <row r="455" spans="3:5" s="262" customFormat="1" ht="15">
      <c r="C455" s="353"/>
      <c r="D455" s="353"/>
      <c r="E455" s="352"/>
    </row>
    <row r="456" spans="3:5" s="262" customFormat="1" ht="15">
      <c r="C456" s="353"/>
      <c r="D456" s="353"/>
      <c r="E456" s="352"/>
    </row>
    <row r="457" spans="3:5" s="262" customFormat="1" ht="15">
      <c r="C457" s="353"/>
      <c r="D457" s="353"/>
      <c r="E457" s="352"/>
    </row>
    <row r="458" spans="3:5" s="262" customFormat="1" ht="15">
      <c r="C458" s="353"/>
      <c r="D458" s="353"/>
      <c r="E458" s="352"/>
    </row>
    <row r="459" spans="3:5" s="262" customFormat="1" ht="15">
      <c r="C459" s="353"/>
      <c r="D459" s="353"/>
      <c r="E459" s="352"/>
    </row>
    <row r="460" spans="3:5" s="262" customFormat="1" ht="15">
      <c r="C460" s="353"/>
      <c r="D460" s="353"/>
      <c r="E460" s="352"/>
    </row>
    <row r="461" spans="3:5" s="262" customFormat="1" ht="15">
      <c r="C461" s="353"/>
      <c r="D461" s="353"/>
      <c r="E461" s="352"/>
    </row>
    <row r="462" spans="3:5" s="262" customFormat="1" ht="15">
      <c r="C462" s="353"/>
      <c r="D462" s="353"/>
      <c r="E462" s="352"/>
    </row>
    <row r="463" spans="3:5" s="262" customFormat="1" ht="15">
      <c r="C463" s="353"/>
      <c r="D463" s="353"/>
      <c r="E463" s="352"/>
    </row>
    <row r="464" spans="3:5" s="262" customFormat="1" ht="15">
      <c r="C464" s="353"/>
      <c r="D464" s="353"/>
      <c r="E464" s="352"/>
    </row>
    <row r="465" spans="3:5" s="262" customFormat="1" ht="15">
      <c r="C465" s="353"/>
      <c r="D465" s="353"/>
      <c r="E465" s="352"/>
    </row>
    <row r="466" spans="3:5" s="262" customFormat="1" ht="15">
      <c r="C466" s="353"/>
      <c r="D466" s="353"/>
      <c r="E466" s="352"/>
    </row>
    <row r="467" spans="3:5" s="262" customFormat="1" ht="15">
      <c r="C467" s="353"/>
      <c r="D467" s="353"/>
      <c r="E467" s="352"/>
    </row>
    <row r="468" spans="3:5" s="262" customFormat="1" ht="15">
      <c r="C468" s="353"/>
      <c r="D468" s="353"/>
      <c r="E468" s="352"/>
    </row>
    <row r="469" spans="3:5" s="262" customFormat="1" ht="15">
      <c r="C469" s="353"/>
      <c r="D469" s="353"/>
      <c r="E469" s="352"/>
    </row>
    <row r="470" spans="3:5" s="262" customFormat="1" ht="15">
      <c r="C470" s="353"/>
      <c r="D470" s="353"/>
      <c r="E470" s="352"/>
    </row>
    <row r="471" spans="3:5" s="262" customFormat="1" ht="15">
      <c r="C471" s="353"/>
      <c r="D471" s="353"/>
      <c r="E471" s="352"/>
    </row>
    <row r="472" spans="3:5" s="262" customFormat="1" ht="15">
      <c r="C472" s="353"/>
      <c r="D472" s="353"/>
      <c r="E472" s="352"/>
    </row>
    <row r="473" spans="3:5" s="262" customFormat="1" ht="15">
      <c r="C473" s="353"/>
      <c r="D473" s="353"/>
      <c r="E473" s="352"/>
    </row>
    <row r="474" spans="3:5" s="262" customFormat="1" ht="15">
      <c r="C474" s="353"/>
      <c r="D474" s="353"/>
      <c r="E474" s="352"/>
    </row>
    <row r="475" spans="3:5" s="262" customFormat="1" ht="15">
      <c r="C475" s="353"/>
      <c r="D475" s="353"/>
      <c r="E475" s="352"/>
    </row>
    <row r="476" spans="3:5" s="262" customFormat="1" ht="15">
      <c r="C476" s="353"/>
      <c r="D476" s="353"/>
      <c r="E476" s="352"/>
    </row>
    <row r="477" spans="3:5" s="262" customFormat="1" ht="15">
      <c r="C477" s="353"/>
      <c r="D477" s="353"/>
      <c r="E477" s="352"/>
    </row>
    <row r="478" spans="3:5" s="262" customFormat="1" ht="15">
      <c r="C478" s="353"/>
      <c r="D478" s="353"/>
      <c r="E478" s="352"/>
    </row>
    <row r="479" spans="3:5" s="262" customFormat="1" ht="15">
      <c r="C479" s="353"/>
      <c r="D479" s="353"/>
      <c r="E479" s="352"/>
    </row>
    <row r="480" spans="3:5" s="262" customFormat="1" ht="15">
      <c r="C480" s="353"/>
      <c r="D480" s="353"/>
      <c r="E480" s="352"/>
    </row>
    <row r="481" spans="3:5" s="262" customFormat="1" ht="15">
      <c r="C481" s="353"/>
      <c r="D481" s="353"/>
      <c r="E481" s="352"/>
    </row>
    <row r="482" spans="3:5" s="262" customFormat="1" ht="15">
      <c r="C482" s="353"/>
      <c r="D482" s="353"/>
      <c r="E482" s="352"/>
    </row>
    <row r="483" spans="3:5" s="262" customFormat="1" ht="15">
      <c r="C483" s="353"/>
      <c r="D483" s="353"/>
      <c r="E483" s="352"/>
    </row>
    <row r="484" spans="3:5" s="262" customFormat="1" ht="15">
      <c r="C484" s="353"/>
      <c r="D484" s="353"/>
      <c r="E484" s="352"/>
    </row>
    <row r="485" spans="3:5" s="262" customFormat="1" ht="15">
      <c r="C485" s="353"/>
      <c r="D485" s="353"/>
      <c r="E485" s="352"/>
    </row>
    <row r="486" spans="3:5" s="262" customFormat="1" ht="15">
      <c r="C486" s="353"/>
      <c r="D486" s="353"/>
      <c r="E486" s="352"/>
    </row>
    <row r="487" spans="3:5" s="262" customFormat="1" ht="15">
      <c r="C487" s="353"/>
      <c r="D487" s="353"/>
      <c r="E487" s="352"/>
    </row>
    <row r="488" spans="3:5" s="262" customFormat="1" ht="15">
      <c r="C488" s="353"/>
      <c r="D488" s="353"/>
      <c r="E488" s="352"/>
    </row>
    <row r="489" spans="3:5" s="262" customFormat="1" ht="15">
      <c r="C489" s="353"/>
      <c r="D489" s="353"/>
      <c r="E489" s="352"/>
    </row>
    <row r="490" spans="3:5" s="262" customFormat="1" ht="15">
      <c r="C490" s="353"/>
      <c r="D490" s="353"/>
      <c r="E490" s="352"/>
    </row>
    <row r="491" spans="3:5" s="262" customFormat="1" ht="15">
      <c r="C491" s="353"/>
      <c r="D491" s="353"/>
      <c r="E491" s="352"/>
    </row>
    <row r="492" spans="3:5" s="262" customFormat="1" ht="15">
      <c r="C492" s="353"/>
      <c r="D492" s="353"/>
      <c r="E492" s="352"/>
    </row>
    <row r="493" spans="3:5" s="262" customFormat="1" ht="15">
      <c r="C493" s="353"/>
      <c r="D493" s="353"/>
      <c r="E493" s="352"/>
    </row>
    <row r="494" spans="3:5" s="262" customFormat="1" ht="15">
      <c r="C494" s="353"/>
      <c r="D494" s="353"/>
      <c r="E494" s="352"/>
    </row>
    <row r="495" spans="3:5" s="262" customFormat="1" ht="15">
      <c r="C495" s="353"/>
      <c r="D495" s="353"/>
      <c r="E495" s="352"/>
    </row>
    <row r="496" spans="3:5" s="262" customFormat="1" ht="15">
      <c r="C496" s="353"/>
      <c r="D496" s="353"/>
      <c r="E496" s="352"/>
    </row>
    <row r="497" spans="3:5" s="262" customFormat="1" ht="15">
      <c r="C497" s="353"/>
      <c r="D497" s="353"/>
      <c r="E497" s="352"/>
    </row>
    <row r="498" spans="3:5" s="262" customFormat="1" ht="15">
      <c r="C498" s="353"/>
      <c r="D498" s="353"/>
      <c r="E498" s="352"/>
    </row>
    <row r="499" spans="3:5" s="262" customFormat="1" ht="15">
      <c r="C499" s="353"/>
      <c r="D499" s="353"/>
      <c r="E499" s="352"/>
    </row>
    <row r="500" spans="3:5" s="262" customFormat="1" ht="15">
      <c r="C500" s="353"/>
      <c r="D500" s="353"/>
      <c r="E500" s="352"/>
    </row>
    <row r="501" spans="3:5" s="262" customFormat="1" ht="15">
      <c r="C501" s="353"/>
      <c r="D501" s="353"/>
      <c r="E501" s="352"/>
    </row>
    <row r="502" spans="3:5" s="262" customFormat="1" ht="15">
      <c r="C502" s="353"/>
      <c r="D502" s="353"/>
      <c r="E502" s="352"/>
    </row>
    <row r="503" spans="3:5" s="262" customFormat="1" ht="15">
      <c r="C503" s="353"/>
      <c r="D503" s="353"/>
      <c r="E503" s="352"/>
    </row>
    <row r="504" spans="3:5" s="262" customFormat="1" ht="15">
      <c r="C504" s="353"/>
      <c r="D504" s="353"/>
      <c r="E504" s="352"/>
    </row>
    <row r="505" spans="3:5" s="262" customFormat="1" ht="15">
      <c r="C505" s="353"/>
      <c r="D505" s="353"/>
      <c r="E505" s="352"/>
    </row>
    <row r="506" spans="3:5" s="262" customFormat="1" ht="15">
      <c r="C506" s="353"/>
      <c r="D506" s="353"/>
      <c r="E506" s="352"/>
    </row>
    <row r="507" spans="3:5" s="262" customFormat="1" ht="15">
      <c r="C507" s="353"/>
      <c r="D507" s="353"/>
      <c r="E507" s="352"/>
    </row>
    <row r="508" spans="3:5" s="262" customFormat="1" ht="15">
      <c r="C508" s="353"/>
      <c r="D508" s="353"/>
      <c r="E508" s="352"/>
    </row>
    <row r="509" spans="3:5" s="262" customFormat="1" ht="15">
      <c r="C509" s="353"/>
      <c r="D509" s="353"/>
      <c r="E509" s="352"/>
    </row>
    <row r="510" spans="3:5" s="262" customFormat="1" ht="15">
      <c r="C510" s="353"/>
      <c r="D510" s="353"/>
      <c r="E510" s="352"/>
    </row>
    <row r="511" spans="3:5" s="262" customFormat="1" ht="15">
      <c r="C511" s="353"/>
      <c r="D511" s="353"/>
      <c r="E511" s="352"/>
    </row>
    <row r="512" spans="3:5" s="262" customFormat="1" ht="15">
      <c r="C512" s="353"/>
      <c r="D512" s="353"/>
      <c r="E512" s="352"/>
    </row>
    <row r="513" spans="3:5" s="262" customFormat="1" ht="15">
      <c r="C513" s="353"/>
      <c r="D513" s="353"/>
      <c r="E513" s="352"/>
    </row>
    <row r="514" spans="3:5" s="262" customFormat="1" ht="15">
      <c r="C514" s="353"/>
      <c r="D514" s="353"/>
      <c r="E514" s="352"/>
    </row>
    <row r="515" spans="3:5" s="262" customFormat="1" ht="15">
      <c r="C515" s="353"/>
      <c r="D515" s="353"/>
      <c r="E515" s="352"/>
    </row>
    <row r="516" spans="3:5" s="262" customFormat="1" ht="15">
      <c r="C516" s="353"/>
      <c r="D516" s="353"/>
      <c r="E516" s="352"/>
    </row>
    <row r="517" spans="3:5" s="262" customFormat="1" ht="15">
      <c r="C517" s="353"/>
      <c r="D517" s="353"/>
      <c r="E517" s="352"/>
    </row>
    <row r="518" spans="3:5" s="262" customFormat="1" ht="15">
      <c r="C518" s="353"/>
      <c r="D518" s="353"/>
      <c r="E518" s="352"/>
    </row>
    <row r="519" spans="3:5" s="262" customFormat="1" ht="15">
      <c r="C519" s="353"/>
      <c r="D519" s="353"/>
      <c r="E519" s="352"/>
    </row>
    <row r="520" spans="3:5" s="262" customFormat="1" ht="15">
      <c r="C520" s="353"/>
      <c r="D520" s="353"/>
      <c r="E520" s="352"/>
    </row>
    <row r="521" spans="3:5" s="262" customFormat="1" ht="15">
      <c r="C521" s="353"/>
      <c r="D521" s="353"/>
      <c r="E521" s="352"/>
    </row>
    <row r="522" spans="3:5" s="262" customFormat="1" ht="15">
      <c r="C522" s="353"/>
      <c r="D522" s="353"/>
      <c r="E522" s="352"/>
    </row>
    <row r="523" spans="3:5" s="262" customFormat="1" ht="15">
      <c r="C523" s="353"/>
      <c r="D523" s="353"/>
      <c r="E523" s="352"/>
    </row>
    <row r="524" spans="3:5" s="262" customFormat="1" ht="15">
      <c r="C524" s="353"/>
      <c r="D524" s="353"/>
      <c r="E524" s="352"/>
    </row>
    <row r="525" spans="3:5" s="262" customFormat="1" ht="15">
      <c r="C525" s="353"/>
      <c r="D525" s="353"/>
      <c r="E525" s="352"/>
    </row>
    <row r="526" spans="3:5" s="262" customFormat="1" ht="15">
      <c r="C526" s="353"/>
      <c r="D526" s="353"/>
      <c r="E526" s="352"/>
    </row>
    <row r="527" spans="3:5" s="262" customFormat="1" ht="15">
      <c r="C527" s="353"/>
      <c r="D527" s="353"/>
      <c r="E527" s="352"/>
    </row>
    <row r="528" spans="3:5" s="262" customFormat="1" ht="15">
      <c r="C528" s="353"/>
      <c r="D528" s="353"/>
      <c r="E528" s="352"/>
    </row>
    <row r="529" spans="3:5" s="262" customFormat="1" ht="15">
      <c r="C529" s="353"/>
      <c r="D529" s="353"/>
      <c r="E529" s="352"/>
    </row>
    <row r="530" spans="3:5" s="262" customFormat="1" ht="15">
      <c r="C530" s="353"/>
      <c r="D530" s="353"/>
      <c r="E530" s="352"/>
    </row>
    <row r="531" spans="3:5" s="262" customFormat="1" ht="15">
      <c r="C531" s="353"/>
      <c r="D531" s="353"/>
      <c r="E531" s="352"/>
    </row>
    <row r="532" spans="3:5" s="262" customFormat="1" ht="15">
      <c r="C532" s="353"/>
      <c r="D532" s="353"/>
      <c r="E532" s="352"/>
    </row>
    <row r="533" spans="3:5" s="262" customFormat="1" ht="15">
      <c r="C533" s="353"/>
      <c r="D533" s="353"/>
      <c r="E533" s="352"/>
    </row>
    <row r="534" spans="3:5" s="262" customFormat="1" ht="15">
      <c r="C534" s="353"/>
      <c r="D534" s="353"/>
      <c r="E534" s="352"/>
    </row>
    <row r="535" spans="3:5" s="262" customFormat="1" ht="15">
      <c r="C535" s="353"/>
      <c r="D535" s="353"/>
      <c r="E535" s="352"/>
    </row>
    <row r="536" spans="3:5" s="262" customFormat="1" ht="15">
      <c r="C536" s="353"/>
      <c r="D536" s="353"/>
      <c r="E536" s="352"/>
    </row>
    <row r="537" spans="3:5" s="262" customFormat="1" ht="15">
      <c r="C537" s="353"/>
      <c r="D537" s="353"/>
      <c r="E537" s="352"/>
    </row>
    <row r="538" spans="3:5" s="262" customFormat="1" ht="15">
      <c r="C538" s="353"/>
      <c r="D538" s="353"/>
      <c r="E538" s="352"/>
    </row>
    <row r="539" spans="3:5" s="262" customFormat="1" ht="15">
      <c r="C539" s="353"/>
      <c r="D539" s="353"/>
      <c r="E539" s="352"/>
    </row>
    <row r="540" spans="3:5" s="262" customFormat="1" ht="15">
      <c r="C540" s="353"/>
      <c r="D540" s="353"/>
      <c r="E540" s="352"/>
    </row>
    <row r="541" spans="3:5" s="262" customFormat="1" ht="15">
      <c r="C541" s="353"/>
      <c r="D541" s="353"/>
      <c r="E541" s="352"/>
    </row>
    <row r="542" spans="3:5" s="262" customFormat="1" ht="15">
      <c r="C542" s="353"/>
      <c r="D542" s="353"/>
      <c r="E542" s="352"/>
    </row>
    <row r="543" spans="3:5" s="262" customFormat="1" ht="15">
      <c r="C543" s="353"/>
      <c r="D543" s="353"/>
      <c r="E543" s="352"/>
    </row>
    <row r="544" spans="3:5" s="262" customFormat="1" ht="15">
      <c r="C544" s="353"/>
      <c r="D544" s="353"/>
      <c r="E544" s="352"/>
    </row>
    <row r="545" spans="3:5" s="262" customFormat="1" ht="15">
      <c r="C545" s="353"/>
      <c r="D545" s="353"/>
      <c r="E545" s="352"/>
    </row>
    <row r="546" spans="3:5" s="262" customFormat="1" ht="15">
      <c r="C546" s="353"/>
      <c r="D546" s="353"/>
      <c r="E546" s="352"/>
    </row>
    <row r="547" spans="3:5" s="262" customFormat="1" ht="15">
      <c r="C547" s="353"/>
      <c r="D547" s="353"/>
      <c r="E547" s="352"/>
    </row>
    <row r="548" spans="3:5" s="262" customFormat="1" ht="15">
      <c r="C548" s="353"/>
      <c r="D548" s="353"/>
      <c r="E548" s="352"/>
    </row>
    <row r="549" spans="3:5" s="262" customFormat="1" ht="15">
      <c r="C549" s="353"/>
      <c r="D549" s="353"/>
      <c r="E549" s="352"/>
    </row>
    <row r="550" spans="3:5" s="262" customFormat="1" ht="15">
      <c r="C550" s="353"/>
      <c r="D550" s="353"/>
      <c r="E550" s="352"/>
    </row>
    <row r="551" spans="3:5" s="262" customFormat="1" ht="15">
      <c r="C551" s="353"/>
      <c r="D551" s="353"/>
      <c r="E551" s="352"/>
    </row>
    <row r="552" spans="3:5" s="262" customFormat="1" ht="15">
      <c r="C552" s="353"/>
      <c r="D552" s="353"/>
      <c r="E552" s="352"/>
    </row>
    <row r="553" spans="3:5" s="262" customFormat="1" ht="15">
      <c r="C553" s="353"/>
      <c r="D553" s="353"/>
      <c r="E553" s="352"/>
    </row>
    <row r="554" spans="3:5" s="262" customFormat="1" ht="15">
      <c r="C554" s="353"/>
      <c r="D554" s="353"/>
      <c r="E554" s="352"/>
    </row>
    <row r="555" spans="3:5" s="262" customFormat="1" ht="15">
      <c r="C555" s="353"/>
      <c r="D555" s="353"/>
      <c r="E555" s="352"/>
    </row>
    <row r="556" spans="3:5" s="262" customFormat="1" ht="15">
      <c r="C556" s="353"/>
      <c r="D556" s="353"/>
      <c r="E556" s="352"/>
    </row>
    <row r="557" spans="3:5" s="262" customFormat="1" ht="15">
      <c r="C557" s="353"/>
      <c r="D557" s="353"/>
      <c r="E557" s="352"/>
    </row>
    <row r="558" spans="3:5" s="262" customFormat="1" ht="15">
      <c r="C558" s="353"/>
      <c r="D558" s="353"/>
      <c r="E558" s="352"/>
    </row>
    <row r="559" spans="3:5" s="262" customFormat="1" ht="15">
      <c r="C559" s="353"/>
      <c r="D559" s="353"/>
      <c r="E559" s="352"/>
    </row>
    <row r="560" spans="3:5" s="262" customFormat="1" ht="15">
      <c r="C560" s="353"/>
      <c r="D560" s="353"/>
      <c r="E560" s="352"/>
    </row>
    <row r="561" spans="3:5" s="262" customFormat="1" ht="15">
      <c r="C561" s="353"/>
      <c r="D561" s="353"/>
      <c r="E561" s="352"/>
    </row>
    <row r="562" spans="3:5" s="262" customFormat="1" ht="15">
      <c r="C562" s="353"/>
      <c r="D562" s="353"/>
      <c r="E562" s="352"/>
    </row>
    <row r="563" spans="3:5" s="262" customFormat="1" ht="15">
      <c r="C563" s="353"/>
      <c r="D563" s="353"/>
      <c r="E563" s="352"/>
    </row>
    <row r="564" spans="3:5" s="262" customFormat="1" ht="15">
      <c r="C564" s="353"/>
      <c r="D564" s="353"/>
      <c r="E564" s="352"/>
    </row>
    <row r="565" spans="3:5" s="262" customFormat="1" ht="15">
      <c r="C565" s="353"/>
      <c r="D565" s="353"/>
      <c r="E565" s="352"/>
    </row>
    <row r="566" spans="3:5" s="262" customFormat="1" ht="15">
      <c r="C566" s="353"/>
      <c r="D566" s="353"/>
      <c r="E566" s="352"/>
    </row>
    <row r="567" spans="3:5" s="262" customFormat="1" ht="15">
      <c r="C567" s="353"/>
      <c r="D567" s="353"/>
      <c r="E567" s="352"/>
    </row>
    <row r="568" spans="3:5" s="262" customFormat="1" ht="15">
      <c r="C568" s="353"/>
      <c r="D568" s="353"/>
      <c r="E568" s="352"/>
    </row>
    <row r="569" spans="3:5" s="262" customFormat="1" ht="15">
      <c r="C569" s="353"/>
      <c r="D569" s="353"/>
      <c r="E569" s="352"/>
    </row>
    <row r="570" spans="3:5" s="262" customFormat="1" ht="15">
      <c r="C570" s="353"/>
      <c r="D570" s="353"/>
      <c r="E570" s="352"/>
    </row>
    <row r="571" spans="3:5" s="262" customFormat="1" ht="15">
      <c r="C571" s="353"/>
      <c r="D571" s="353"/>
      <c r="E571" s="352"/>
    </row>
    <row r="572" spans="3:5" s="262" customFormat="1" ht="15">
      <c r="C572" s="353"/>
      <c r="D572" s="353"/>
      <c r="E572" s="352"/>
    </row>
    <row r="573" spans="3:5" s="262" customFormat="1" ht="15">
      <c r="C573" s="353"/>
      <c r="D573" s="353"/>
      <c r="E573" s="352"/>
    </row>
    <row r="574" spans="3:5" s="262" customFormat="1" ht="15">
      <c r="C574" s="353"/>
      <c r="D574" s="353"/>
      <c r="E574" s="352"/>
    </row>
    <row r="575" spans="3:5" s="262" customFormat="1" ht="15">
      <c r="C575" s="353"/>
      <c r="D575" s="353"/>
      <c r="E575" s="352"/>
    </row>
    <row r="576" spans="3:5" s="262" customFormat="1" ht="15">
      <c r="C576" s="353"/>
      <c r="D576" s="353"/>
      <c r="E576" s="352"/>
    </row>
    <row r="577" spans="3:5" s="262" customFormat="1" ht="15">
      <c r="C577" s="353"/>
      <c r="D577" s="353"/>
      <c r="E577" s="352"/>
    </row>
    <row r="578" spans="3:5" s="262" customFormat="1" ht="15">
      <c r="C578" s="353"/>
      <c r="D578" s="353"/>
      <c r="E578" s="352"/>
    </row>
    <row r="579" spans="3:5" s="262" customFormat="1" ht="15">
      <c r="C579" s="353"/>
      <c r="D579" s="353"/>
      <c r="E579" s="352"/>
    </row>
    <row r="580" spans="3:5" s="262" customFormat="1" ht="15">
      <c r="C580" s="353"/>
      <c r="D580" s="353"/>
      <c r="E580" s="352"/>
    </row>
    <row r="581" spans="3:5" s="262" customFormat="1" ht="15">
      <c r="C581" s="353"/>
      <c r="D581" s="353"/>
      <c r="E581" s="352"/>
    </row>
    <row r="582" spans="3:5" s="262" customFormat="1" ht="15">
      <c r="C582" s="353"/>
      <c r="D582" s="353"/>
      <c r="E582" s="352"/>
    </row>
    <row r="583" spans="3:5" s="262" customFormat="1" ht="15">
      <c r="C583" s="353"/>
      <c r="D583" s="353"/>
      <c r="E583" s="352"/>
    </row>
    <row r="584" spans="3:5" s="262" customFormat="1" ht="15">
      <c r="C584" s="353"/>
      <c r="D584" s="353"/>
      <c r="E584" s="352"/>
    </row>
    <row r="585" spans="3:5" s="262" customFormat="1" ht="15">
      <c r="C585" s="353"/>
      <c r="D585" s="353"/>
      <c r="E585" s="352"/>
    </row>
  </sheetData>
  <sheetProtection/>
  <mergeCells count="41">
    <mergeCell ref="A69:E69"/>
    <mergeCell ref="A382:E382"/>
    <mergeCell ref="A8:E8"/>
    <mergeCell ref="A375:E375"/>
    <mergeCell ref="C4:E4"/>
    <mergeCell ref="A329:E329"/>
    <mergeCell ref="A5:E5"/>
    <mergeCell ref="A135:E135"/>
    <mergeCell ref="C9:E9"/>
    <mergeCell ref="C10:C11"/>
    <mergeCell ref="E10:E11"/>
    <mergeCell ref="A366:E366"/>
    <mergeCell ref="C1:E1"/>
    <mergeCell ref="C2:E2"/>
    <mergeCell ref="C3:E3"/>
    <mergeCell ref="A7:E7"/>
    <mergeCell ref="A9:A11"/>
    <mergeCell ref="A352:E352"/>
    <mergeCell ref="B9:B11"/>
    <mergeCell ref="A92:E92"/>
    <mergeCell ref="A113:E113"/>
    <mergeCell ref="A205:E205"/>
    <mergeCell ref="A388:E388"/>
    <mergeCell ref="A244:E244"/>
    <mergeCell ref="A263:E263"/>
    <mergeCell ref="A226:E226"/>
    <mergeCell ref="D10:D11"/>
    <mergeCell ref="A12:E12"/>
    <mergeCell ref="A77:E77"/>
    <mergeCell ref="A122:E122"/>
    <mergeCell ref="A178:E178"/>
    <mergeCell ref="A305:E305"/>
    <mergeCell ref="A355:E355"/>
    <mergeCell ref="A385:E385"/>
    <mergeCell ref="A88:E88"/>
    <mergeCell ref="A362:E362"/>
    <mergeCell ref="A62:E62"/>
    <mergeCell ref="A182:E182"/>
    <mergeCell ref="A378:E378"/>
    <mergeCell ref="A358:E358"/>
    <mergeCell ref="A285:E285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80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37" customWidth="1"/>
    <col min="2" max="2" width="20.57421875" style="437" customWidth="1"/>
    <col min="3" max="3" width="20.00390625" style="437" customWidth="1"/>
    <col min="4" max="4" width="13.8515625" style="437" customWidth="1"/>
    <col min="5" max="16384" width="9.140625" style="437" customWidth="1"/>
  </cols>
  <sheetData>
    <row r="1" ht="25.5" customHeight="1">
      <c r="D1" s="437" t="s">
        <v>399</v>
      </c>
    </row>
    <row r="2" spans="1:4" ht="27.75" customHeight="1">
      <c r="A2" s="664" t="s">
        <v>304</v>
      </c>
      <c r="B2" s="664"/>
      <c r="C2" s="664"/>
      <c r="D2" s="664"/>
    </row>
    <row r="3" spans="1:4" ht="93.75" customHeight="1">
      <c r="A3" s="663" t="s">
        <v>308</v>
      </c>
      <c r="B3" s="663"/>
      <c r="C3" s="663"/>
      <c r="D3" s="663"/>
    </row>
    <row r="4" spans="1:2" ht="12.75">
      <c r="A4" s="438"/>
      <c r="B4" s="444" t="s">
        <v>306</v>
      </c>
    </row>
    <row r="5" spans="1:2" ht="12.75">
      <c r="A5" s="438"/>
      <c r="B5" s="444"/>
    </row>
    <row r="6" spans="1:4" ht="27.75" customHeight="1">
      <c r="A6" s="662" t="s">
        <v>305</v>
      </c>
      <c r="B6" s="665" t="s">
        <v>309</v>
      </c>
      <c r="C6" s="666"/>
      <c r="D6" s="667"/>
    </row>
    <row r="7" spans="1:4" ht="29.25" customHeight="1">
      <c r="A7" s="662"/>
      <c r="B7" s="443"/>
      <c r="C7" s="443"/>
      <c r="D7" s="668" t="s">
        <v>7</v>
      </c>
    </row>
    <row r="8" spans="1:4" ht="42.75" customHeight="1">
      <c r="A8" s="662"/>
      <c r="B8" s="443"/>
      <c r="C8" s="443"/>
      <c r="D8" s="669"/>
    </row>
    <row r="9" spans="1:4" ht="24" customHeight="1">
      <c r="A9" s="439" t="s">
        <v>42</v>
      </c>
      <c r="B9" s="440"/>
      <c r="C9" s="440"/>
      <c r="D9" s="445">
        <f>SUM(B9:C9)</f>
        <v>0</v>
      </c>
    </row>
    <row r="10" spans="1:4" ht="24" customHeight="1">
      <c r="A10" s="439" t="s">
        <v>55</v>
      </c>
      <c r="B10" s="440"/>
      <c r="C10" s="440"/>
      <c r="D10" s="445">
        <f>SUM(B10:C10)</f>
        <v>0</v>
      </c>
    </row>
    <row r="11" spans="1:4" ht="24" customHeight="1">
      <c r="A11" s="439" t="s">
        <v>223</v>
      </c>
      <c r="B11" s="440"/>
      <c r="C11" s="440"/>
      <c r="D11" s="445">
        <f>SUM(B11:C11)</f>
        <v>0</v>
      </c>
    </row>
    <row r="12" spans="1:4" ht="24" customHeight="1">
      <c r="A12" s="441" t="s">
        <v>307</v>
      </c>
      <c r="B12" s="442">
        <f>SUM(B9:B11)</f>
        <v>0</v>
      </c>
      <c r="C12" s="442">
        <f>SUM(C9:C11)</f>
        <v>0</v>
      </c>
      <c r="D12" s="442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11" sqref="X11"/>
    </sheetView>
  </sheetViews>
  <sheetFormatPr defaultColWidth="9.140625" defaultRowHeight="12.75"/>
  <cols>
    <col min="1" max="1" width="33.140625" style="289" customWidth="1"/>
    <col min="2" max="2" width="19.8515625" style="289" customWidth="1"/>
    <col min="3" max="3" width="18.57421875" style="289" customWidth="1"/>
    <col min="4" max="4" width="18.7109375" style="289" customWidth="1"/>
    <col min="5" max="5" width="19.140625" style="294" customWidth="1"/>
    <col min="6" max="6" width="17.421875" style="289" customWidth="1"/>
    <col min="7" max="7" width="17.00390625" style="289" customWidth="1"/>
    <col min="8" max="8" width="14.28125" style="289" customWidth="1"/>
    <col min="9" max="9" width="13.28125" style="289" customWidth="1"/>
    <col min="10" max="16384" width="9.140625" style="289" customWidth="1"/>
  </cols>
  <sheetData>
    <row r="1" spans="4:9" ht="21" customHeight="1">
      <c r="D1" s="290"/>
      <c r="E1" s="290"/>
      <c r="G1" s="291"/>
      <c r="H1" s="291"/>
      <c r="I1" s="289" t="s">
        <v>400</v>
      </c>
    </row>
    <row r="2" spans="4:8" ht="21" customHeight="1">
      <c r="D2" s="290"/>
      <c r="E2" s="290"/>
      <c r="G2" s="291"/>
      <c r="H2" s="291"/>
    </row>
    <row r="3" spans="1:9" ht="31.5" customHeight="1">
      <c r="A3" s="599" t="str">
        <f>'1. АМП'!A5:E5</f>
        <v>РАСПРЕДЕЛЕНИЕ  ОБЪЁМОВ МЕДИЦИНСКОЙ ПОМОЩИ И ОБЪЕМОВ ФИНАНСОВОГО ОБЕСПЕЧЕНИЯ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599"/>
      <c r="C3" s="599"/>
      <c r="D3" s="599"/>
      <c r="E3" s="599"/>
      <c r="F3" s="599"/>
      <c r="G3" s="599"/>
      <c r="H3" s="599"/>
      <c r="I3" s="599"/>
    </row>
    <row r="4" spans="1:9" ht="21.75" customHeight="1">
      <c r="A4" s="600" t="s">
        <v>405</v>
      </c>
      <c r="B4" s="600"/>
      <c r="C4" s="600"/>
      <c r="D4" s="600"/>
      <c r="E4" s="600"/>
      <c r="F4" s="600"/>
      <c r="G4" s="600"/>
      <c r="H4" s="600"/>
      <c r="I4" s="600"/>
    </row>
    <row r="5" spans="2:8" ht="15.75">
      <c r="B5" s="309"/>
      <c r="C5" s="309"/>
      <c r="D5" s="309"/>
      <c r="E5" s="309"/>
      <c r="F5" s="309"/>
      <c r="G5" s="309"/>
      <c r="H5" s="309"/>
    </row>
    <row r="6" spans="1:9" ht="15.75">
      <c r="A6" s="597" t="s">
        <v>209</v>
      </c>
      <c r="B6" s="602" t="s">
        <v>255</v>
      </c>
      <c r="C6" s="605" t="s">
        <v>210</v>
      </c>
      <c r="D6" s="605"/>
      <c r="E6" s="605"/>
      <c r="F6" s="390"/>
      <c r="G6" s="602" t="s">
        <v>256</v>
      </c>
      <c r="H6" s="605" t="s">
        <v>210</v>
      </c>
      <c r="I6" s="605"/>
    </row>
    <row r="7" spans="1:9" ht="15.75">
      <c r="A7" s="601"/>
      <c r="B7" s="603"/>
      <c r="C7" s="597" t="s">
        <v>224</v>
      </c>
      <c r="D7" s="597" t="s">
        <v>269</v>
      </c>
      <c r="E7" s="597" t="s">
        <v>211</v>
      </c>
      <c r="F7" s="390" t="s">
        <v>210</v>
      </c>
      <c r="G7" s="603"/>
      <c r="H7" s="597" t="s">
        <v>212</v>
      </c>
      <c r="I7" s="597" t="s">
        <v>213</v>
      </c>
    </row>
    <row r="8" spans="1:9" ht="82.5" customHeight="1">
      <c r="A8" s="598"/>
      <c r="B8" s="604"/>
      <c r="C8" s="598"/>
      <c r="D8" s="598"/>
      <c r="E8" s="598"/>
      <c r="F8" s="390" t="s">
        <v>257</v>
      </c>
      <c r="G8" s="604"/>
      <c r="H8" s="598"/>
      <c r="I8" s="598"/>
    </row>
    <row r="9" spans="1:9" ht="15.75">
      <c r="A9" s="391">
        <v>1</v>
      </c>
      <c r="B9" s="391">
        <v>2</v>
      </c>
      <c r="C9" s="391">
        <v>3</v>
      </c>
      <c r="D9" s="391">
        <v>4</v>
      </c>
      <c r="E9" s="391">
        <v>5</v>
      </c>
      <c r="F9" s="390">
        <v>6</v>
      </c>
      <c r="G9" s="391">
        <v>7</v>
      </c>
      <c r="H9" s="391">
        <v>8</v>
      </c>
      <c r="I9" s="391">
        <v>9</v>
      </c>
    </row>
    <row r="10" spans="1:9" ht="31.5">
      <c r="A10" s="392" t="s">
        <v>55</v>
      </c>
      <c r="B10" s="401">
        <f>SUM(C10:E10)</f>
        <v>234</v>
      </c>
      <c r="C10" s="292">
        <v>134</v>
      </c>
      <c r="D10" s="292">
        <v>100</v>
      </c>
      <c r="E10" s="292">
        <v>0</v>
      </c>
      <c r="F10" s="393"/>
      <c r="G10" s="401">
        <f aca="true" t="shared" si="0" ref="G10:G21">SUM(H10:I10)</f>
        <v>18501</v>
      </c>
      <c r="H10" s="310">
        <v>18501</v>
      </c>
      <c r="I10" s="310">
        <v>0</v>
      </c>
    </row>
    <row r="11" spans="1:9" ht="31.5">
      <c r="A11" s="394" t="s">
        <v>258</v>
      </c>
      <c r="B11" s="401">
        <f aca="true" t="shared" si="1" ref="B11:B21">SUM(C11:E11)</f>
        <v>30239</v>
      </c>
      <c r="C11" s="292">
        <v>0</v>
      </c>
      <c r="D11" s="292">
        <v>0</v>
      </c>
      <c r="E11" s="292">
        <v>30239</v>
      </c>
      <c r="F11" s="393">
        <v>2074</v>
      </c>
      <c r="G11" s="401">
        <f t="shared" si="0"/>
        <v>6671</v>
      </c>
      <c r="H11" s="310">
        <v>0</v>
      </c>
      <c r="I11" s="310">
        <v>6671</v>
      </c>
    </row>
    <row r="12" spans="1:12" ht="31.5">
      <c r="A12" s="395" t="s">
        <v>259</v>
      </c>
      <c r="B12" s="402">
        <f>SUM(B14:B21)</f>
        <v>14102</v>
      </c>
      <c r="C12" s="396">
        <f>SUM(C14:C21)</f>
        <v>116</v>
      </c>
      <c r="D12" s="396">
        <f aca="true" t="shared" si="2" ref="D12:I12">SUM(D14:D21)</f>
        <v>205</v>
      </c>
      <c r="E12" s="396">
        <f t="shared" si="2"/>
        <v>13781</v>
      </c>
      <c r="F12" s="397">
        <f t="shared" si="2"/>
        <v>946</v>
      </c>
      <c r="G12" s="402">
        <f t="shared" si="2"/>
        <v>10550</v>
      </c>
      <c r="H12" s="396">
        <f t="shared" si="2"/>
        <v>7510</v>
      </c>
      <c r="I12" s="396">
        <f t="shared" si="2"/>
        <v>3040</v>
      </c>
      <c r="J12" s="309"/>
      <c r="L12" s="309"/>
    </row>
    <row r="13" spans="1:9" ht="28.5" customHeight="1">
      <c r="A13" s="404" t="s">
        <v>260</v>
      </c>
      <c r="B13" s="405"/>
      <c r="C13" s="406"/>
      <c r="D13" s="406"/>
      <c r="E13" s="406"/>
      <c r="F13" s="407"/>
      <c r="G13" s="405"/>
      <c r="H13" s="406"/>
      <c r="I13" s="408"/>
    </row>
    <row r="14" spans="1:9" ht="31.5">
      <c r="A14" s="398" t="s">
        <v>261</v>
      </c>
      <c r="B14" s="403">
        <f>SUM(C14:E14)</f>
        <v>2750</v>
      </c>
      <c r="C14" s="310">
        <v>116</v>
      </c>
      <c r="D14" s="310">
        <v>24</v>
      </c>
      <c r="E14" s="310">
        <v>2610</v>
      </c>
      <c r="F14" s="399">
        <v>179</v>
      </c>
      <c r="G14" s="403">
        <f t="shared" si="0"/>
        <v>2023</v>
      </c>
      <c r="H14" s="310">
        <v>1447</v>
      </c>
      <c r="I14" s="310">
        <v>576</v>
      </c>
    </row>
    <row r="15" spans="1:9" ht="30" customHeight="1">
      <c r="A15" s="400" t="s">
        <v>262</v>
      </c>
      <c r="B15" s="401">
        <f t="shared" si="1"/>
        <v>1499</v>
      </c>
      <c r="C15" s="310">
        <v>0</v>
      </c>
      <c r="D15" s="310">
        <v>22</v>
      </c>
      <c r="E15" s="310">
        <v>1477</v>
      </c>
      <c r="F15" s="399">
        <v>101</v>
      </c>
      <c r="G15" s="401">
        <f t="shared" si="0"/>
        <v>1152</v>
      </c>
      <c r="H15" s="310">
        <v>826</v>
      </c>
      <c r="I15" s="310">
        <v>326</v>
      </c>
    </row>
    <row r="16" spans="1:9" ht="31.5" customHeight="1">
      <c r="A16" s="400" t="s">
        <v>263</v>
      </c>
      <c r="B16" s="401">
        <f t="shared" si="1"/>
        <v>825</v>
      </c>
      <c r="C16" s="310">
        <v>0</v>
      </c>
      <c r="D16" s="310">
        <v>39</v>
      </c>
      <c r="E16" s="310">
        <v>786</v>
      </c>
      <c r="F16" s="399">
        <v>54</v>
      </c>
      <c r="G16" s="401">
        <f t="shared" si="0"/>
        <v>536</v>
      </c>
      <c r="H16" s="310">
        <v>363</v>
      </c>
      <c r="I16" s="310">
        <v>173</v>
      </c>
    </row>
    <row r="17" spans="1:9" ht="31.5">
      <c r="A17" s="400" t="s">
        <v>264</v>
      </c>
      <c r="B17" s="401">
        <f t="shared" si="1"/>
        <v>2349</v>
      </c>
      <c r="C17" s="310">
        <v>0</v>
      </c>
      <c r="D17" s="310">
        <v>19</v>
      </c>
      <c r="E17" s="310">
        <v>2330</v>
      </c>
      <c r="F17" s="399">
        <v>160</v>
      </c>
      <c r="G17" s="401">
        <f t="shared" si="0"/>
        <v>1802</v>
      </c>
      <c r="H17" s="310">
        <v>1288</v>
      </c>
      <c r="I17" s="310">
        <v>514</v>
      </c>
    </row>
    <row r="18" spans="1:9" ht="37.5" customHeight="1">
      <c r="A18" s="400" t="s">
        <v>265</v>
      </c>
      <c r="B18" s="401">
        <f t="shared" si="1"/>
        <v>638</v>
      </c>
      <c r="C18" s="310">
        <v>0</v>
      </c>
      <c r="D18" s="310">
        <v>26</v>
      </c>
      <c r="E18" s="310">
        <v>612</v>
      </c>
      <c r="F18" s="399">
        <v>42</v>
      </c>
      <c r="G18" s="401">
        <f t="shared" si="0"/>
        <v>553</v>
      </c>
      <c r="H18" s="310">
        <v>418</v>
      </c>
      <c r="I18" s="310">
        <v>135</v>
      </c>
    </row>
    <row r="19" spans="1:9" ht="31.5">
      <c r="A19" s="400" t="s">
        <v>266</v>
      </c>
      <c r="B19" s="401">
        <f t="shared" si="1"/>
        <v>1195</v>
      </c>
      <c r="C19" s="310">
        <v>0</v>
      </c>
      <c r="D19" s="310">
        <v>19</v>
      </c>
      <c r="E19" s="310">
        <v>1176</v>
      </c>
      <c r="F19" s="399">
        <v>81</v>
      </c>
      <c r="G19" s="401">
        <f t="shared" si="0"/>
        <v>855</v>
      </c>
      <c r="H19" s="310">
        <v>596</v>
      </c>
      <c r="I19" s="310">
        <v>259</v>
      </c>
    </row>
    <row r="20" spans="1:9" ht="31.5">
      <c r="A20" s="400" t="s">
        <v>267</v>
      </c>
      <c r="B20" s="401">
        <f t="shared" si="1"/>
        <v>2175</v>
      </c>
      <c r="C20" s="310">
        <v>0</v>
      </c>
      <c r="D20" s="310">
        <v>32</v>
      </c>
      <c r="E20" s="310">
        <v>2143</v>
      </c>
      <c r="F20" s="399">
        <v>147</v>
      </c>
      <c r="G20" s="401">
        <f t="shared" si="0"/>
        <v>1641</v>
      </c>
      <c r="H20" s="310">
        <v>1168</v>
      </c>
      <c r="I20" s="310">
        <v>473</v>
      </c>
    </row>
    <row r="21" spans="1:9" ht="47.25">
      <c r="A21" s="400" t="s">
        <v>268</v>
      </c>
      <c r="B21" s="401">
        <f t="shared" si="1"/>
        <v>2671</v>
      </c>
      <c r="C21" s="310">
        <v>0</v>
      </c>
      <c r="D21" s="310">
        <v>24</v>
      </c>
      <c r="E21" s="310">
        <v>2647</v>
      </c>
      <c r="F21" s="399">
        <v>182</v>
      </c>
      <c r="G21" s="401">
        <f t="shared" si="0"/>
        <v>1988</v>
      </c>
      <c r="H21" s="310">
        <v>1404</v>
      </c>
      <c r="I21" s="310">
        <v>584</v>
      </c>
    </row>
    <row r="22" spans="1:9" ht="15.75">
      <c r="A22" s="293" t="s">
        <v>32</v>
      </c>
      <c r="B22" s="401">
        <f>B10+B11+B12</f>
        <v>44575</v>
      </c>
      <c r="C22" s="292">
        <f aca="true" t="shared" si="3" ref="C22:I22">C10+C11+C12</f>
        <v>250</v>
      </c>
      <c r="D22" s="292">
        <f t="shared" si="3"/>
        <v>305</v>
      </c>
      <c r="E22" s="292">
        <f t="shared" si="3"/>
        <v>44020</v>
      </c>
      <c r="F22" s="393">
        <f t="shared" si="3"/>
        <v>3020</v>
      </c>
      <c r="G22" s="401">
        <f t="shared" si="3"/>
        <v>35722</v>
      </c>
      <c r="H22" s="292">
        <f t="shared" si="3"/>
        <v>26011</v>
      </c>
      <c r="I22" s="292">
        <f t="shared" si="3"/>
        <v>9711</v>
      </c>
    </row>
    <row r="27" spans="2:9" ht="15.75">
      <c r="B27" s="309"/>
      <c r="C27" s="309"/>
      <c r="D27" s="309"/>
      <c r="E27" s="309"/>
      <c r="F27" s="309"/>
      <c r="G27" s="309"/>
      <c r="H27" s="309"/>
      <c r="I27" s="309"/>
    </row>
    <row r="28" spans="2:9" ht="15.75">
      <c r="B28" s="309"/>
      <c r="C28" s="309"/>
      <c r="D28" s="309"/>
      <c r="E28" s="309"/>
      <c r="F28" s="309"/>
      <c r="G28" s="309"/>
      <c r="H28" s="309"/>
      <c r="I28" s="309"/>
    </row>
    <row r="29" spans="2:9" ht="15.75">
      <c r="B29" s="309"/>
      <c r="C29" s="309"/>
      <c r="D29" s="309"/>
      <c r="E29" s="309"/>
      <c r="F29" s="309"/>
      <c r="G29" s="309"/>
      <c r="H29" s="309"/>
      <c r="I29" s="309"/>
    </row>
  </sheetData>
  <sheetProtection/>
  <mergeCells count="12">
    <mergeCell ref="D7:D8"/>
    <mergeCell ref="E7:E8"/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PageLayoutView="0" workbookViewId="0" topLeftCell="A1">
      <selection activeCell="V27" sqref="V27"/>
    </sheetView>
  </sheetViews>
  <sheetFormatPr defaultColWidth="9.140625" defaultRowHeight="12.75" outlineLevelCol="1"/>
  <cols>
    <col min="1" max="1" width="28.28125" style="3" customWidth="1"/>
    <col min="2" max="2" width="14.421875" style="3" customWidth="1"/>
    <col min="3" max="3" width="16.28125" style="3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6" t="s">
        <v>401</v>
      </c>
      <c r="Q1" s="226"/>
    </row>
    <row r="2" spans="16:17" ht="15.75">
      <c r="P2" s="481"/>
      <c r="Q2" s="481"/>
    </row>
    <row r="3" spans="1:16" ht="42" customHeight="1">
      <c r="A3" s="584" t="str">
        <f>'1.1. ПРОФ.МЕРОПРИЯТИЯ'!A3:I3</f>
        <v>РАСПРЕДЕЛЕНИЕ  ОБЪЁМОВ МЕДИЦИНСКОЙ ПОМОЩИ И ОБЪЕМОВ ФИНАНСОВОГО ОБЕСПЕЧЕНИЯ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</row>
    <row r="5" spans="1:16" ht="14.25">
      <c r="A5" s="608" t="s">
        <v>404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</row>
    <row r="6" ht="13.5" thickBot="1"/>
    <row r="7" spans="1:16" ht="15" customHeight="1">
      <c r="A7" s="609" t="s">
        <v>385</v>
      </c>
      <c r="B7" s="611" t="s">
        <v>395</v>
      </c>
      <c r="C7" s="611" t="s">
        <v>397</v>
      </c>
      <c r="D7" s="611" t="s">
        <v>223</v>
      </c>
      <c r="E7" s="611" t="s">
        <v>398</v>
      </c>
      <c r="F7" s="613" t="s">
        <v>210</v>
      </c>
      <c r="G7" s="614"/>
      <c r="H7" s="614"/>
      <c r="I7" s="614"/>
      <c r="J7" s="614"/>
      <c r="K7" s="614"/>
      <c r="L7" s="614"/>
      <c r="M7" s="614"/>
      <c r="N7" s="614"/>
      <c r="O7" s="615"/>
      <c r="P7" s="606" t="s">
        <v>396</v>
      </c>
    </row>
    <row r="8" spans="1:16" ht="68.25" customHeight="1" thickBot="1">
      <c r="A8" s="610"/>
      <c r="B8" s="612"/>
      <c r="C8" s="612"/>
      <c r="D8" s="612"/>
      <c r="E8" s="612"/>
      <c r="F8" s="527" t="s">
        <v>386</v>
      </c>
      <c r="G8" s="527" t="s">
        <v>442</v>
      </c>
      <c r="H8" s="527" t="s">
        <v>387</v>
      </c>
      <c r="I8" s="527" t="s">
        <v>388</v>
      </c>
      <c r="J8" s="527" t="s">
        <v>389</v>
      </c>
      <c r="K8" s="527" t="s">
        <v>390</v>
      </c>
      <c r="L8" s="527" t="s">
        <v>391</v>
      </c>
      <c r="M8" s="527" t="s">
        <v>392</v>
      </c>
      <c r="N8" s="527" t="s">
        <v>393</v>
      </c>
      <c r="O8" s="527" t="s">
        <v>394</v>
      </c>
      <c r="P8" s="607"/>
    </row>
    <row r="9" spans="1:16" ht="18.75" customHeight="1">
      <c r="A9" s="521" t="s">
        <v>70</v>
      </c>
      <c r="B9" s="510">
        <v>1172</v>
      </c>
      <c r="C9" s="510">
        <v>0</v>
      </c>
      <c r="D9" s="511">
        <v>0</v>
      </c>
      <c r="E9" s="510">
        <f>SUM(F9:O9)</f>
        <v>1151</v>
      </c>
      <c r="F9" s="528">
        <v>121</v>
      </c>
      <c r="G9" s="528"/>
      <c r="H9" s="528">
        <v>121</v>
      </c>
      <c r="I9" s="528">
        <v>121</v>
      </c>
      <c r="J9" s="528">
        <v>121</v>
      </c>
      <c r="K9" s="528">
        <v>61</v>
      </c>
      <c r="L9" s="528">
        <v>121</v>
      </c>
      <c r="M9" s="528">
        <v>121</v>
      </c>
      <c r="N9" s="528">
        <v>182</v>
      </c>
      <c r="O9" s="528">
        <v>182</v>
      </c>
      <c r="P9" s="518">
        <f>B9+C9+D9+E9</f>
        <v>2323</v>
      </c>
    </row>
    <row r="10" spans="1:16" ht="18.75" customHeight="1">
      <c r="A10" s="507" t="s">
        <v>13</v>
      </c>
      <c r="B10" s="508">
        <v>0</v>
      </c>
      <c r="C10" s="508">
        <v>0</v>
      </c>
      <c r="D10" s="509">
        <v>0</v>
      </c>
      <c r="E10" s="508">
        <f aca="true" t="shared" si="0" ref="E10:E21">SUM(F10:O10)</f>
        <v>986</v>
      </c>
      <c r="F10" s="529">
        <v>0</v>
      </c>
      <c r="G10" s="529">
        <v>580</v>
      </c>
      <c r="H10" s="529">
        <v>116</v>
      </c>
      <c r="I10" s="529">
        <v>116</v>
      </c>
      <c r="J10" s="529">
        <v>29</v>
      </c>
      <c r="K10" s="529">
        <v>0</v>
      </c>
      <c r="L10" s="529">
        <v>29</v>
      </c>
      <c r="M10" s="529">
        <v>0</v>
      </c>
      <c r="N10" s="529">
        <v>29</v>
      </c>
      <c r="O10" s="529">
        <v>87</v>
      </c>
      <c r="P10" s="519">
        <f aca="true" t="shared" si="1" ref="P10:P21">B10+C10+D10+E10</f>
        <v>986</v>
      </c>
    </row>
    <row r="11" spans="1:16" ht="18.75" customHeight="1">
      <c r="A11" s="521" t="s">
        <v>80</v>
      </c>
      <c r="B11" s="508">
        <v>0</v>
      </c>
      <c r="C11" s="508">
        <v>0</v>
      </c>
      <c r="D11" s="509">
        <v>231</v>
      </c>
      <c r="E11" s="508">
        <f t="shared" si="0"/>
        <v>438</v>
      </c>
      <c r="F11" s="529">
        <v>0</v>
      </c>
      <c r="G11" s="529"/>
      <c r="H11" s="529">
        <v>34</v>
      </c>
      <c r="I11" s="529">
        <v>34</v>
      </c>
      <c r="J11" s="529">
        <v>0</v>
      </c>
      <c r="K11" s="529">
        <v>34</v>
      </c>
      <c r="L11" s="529">
        <v>34</v>
      </c>
      <c r="M11" s="529">
        <v>34</v>
      </c>
      <c r="N11" s="529">
        <v>134</v>
      </c>
      <c r="O11" s="529">
        <v>134</v>
      </c>
      <c r="P11" s="519">
        <f t="shared" si="1"/>
        <v>669</v>
      </c>
    </row>
    <row r="12" spans="1:16" ht="18.75" customHeight="1">
      <c r="A12" s="507" t="s">
        <v>66</v>
      </c>
      <c r="B12" s="508">
        <v>0</v>
      </c>
      <c r="C12" s="508">
        <v>0</v>
      </c>
      <c r="D12" s="509">
        <v>297</v>
      </c>
      <c r="E12" s="508">
        <f t="shared" si="0"/>
        <v>90</v>
      </c>
      <c r="F12" s="529">
        <v>0</v>
      </c>
      <c r="G12" s="529"/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30</v>
      </c>
      <c r="N12" s="529">
        <v>60</v>
      </c>
      <c r="O12" s="529">
        <v>0</v>
      </c>
      <c r="P12" s="519">
        <f t="shared" si="1"/>
        <v>387</v>
      </c>
    </row>
    <row r="13" spans="1:16" ht="18.75" customHeight="1">
      <c r="A13" s="507" t="s">
        <v>3</v>
      </c>
      <c r="B13" s="508">
        <v>0</v>
      </c>
      <c r="C13" s="508">
        <v>0</v>
      </c>
      <c r="D13" s="509">
        <v>1127</v>
      </c>
      <c r="E13" s="508">
        <f t="shared" si="0"/>
        <v>1443</v>
      </c>
      <c r="F13" s="529">
        <v>0</v>
      </c>
      <c r="G13" s="529"/>
      <c r="H13" s="529">
        <v>251</v>
      </c>
      <c r="I13" s="529">
        <v>251</v>
      </c>
      <c r="J13" s="529">
        <v>0</v>
      </c>
      <c r="K13" s="529">
        <v>0</v>
      </c>
      <c r="L13" s="529">
        <v>251</v>
      </c>
      <c r="M13" s="529">
        <v>251</v>
      </c>
      <c r="N13" s="529">
        <v>188</v>
      </c>
      <c r="O13" s="529">
        <v>251</v>
      </c>
      <c r="P13" s="519">
        <f t="shared" si="1"/>
        <v>2570</v>
      </c>
    </row>
    <row r="14" spans="1:16" ht="18.75" customHeight="1">
      <c r="A14" s="507" t="s">
        <v>6</v>
      </c>
      <c r="B14" s="508">
        <v>0</v>
      </c>
      <c r="C14" s="508">
        <v>0</v>
      </c>
      <c r="D14" s="509">
        <v>0</v>
      </c>
      <c r="E14" s="508">
        <f t="shared" si="0"/>
        <v>3274</v>
      </c>
      <c r="F14" s="529">
        <v>1931</v>
      </c>
      <c r="G14" s="529"/>
      <c r="H14" s="529">
        <v>298</v>
      </c>
      <c r="I14" s="529">
        <v>298</v>
      </c>
      <c r="J14" s="529">
        <v>75</v>
      </c>
      <c r="K14" s="529">
        <v>75</v>
      </c>
      <c r="L14" s="529">
        <v>75</v>
      </c>
      <c r="M14" s="529">
        <v>75</v>
      </c>
      <c r="N14" s="529">
        <v>149</v>
      </c>
      <c r="O14" s="529">
        <v>298</v>
      </c>
      <c r="P14" s="519">
        <f t="shared" si="1"/>
        <v>3274</v>
      </c>
    </row>
    <row r="15" spans="1:16" ht="18.75" customHeight="1">
      <c r="A15" s="507" t="s">
        <v>71</v>
      </c>
      <c r="B15" s="508">
        <v>0</v>
      </c>
      <c r="C15" s="508">
        <v>0</v>
      </c>
      <c r="D15" s="509">
        <v>263</v>
      </c>
      <c r="E15" s="508">
        <f t="shared" si="0"/>
        <v>300</v>
      </c>
      <c r="F15" s="529">
        <v>0</v>
      </c>
      <c r="G15" s="529"/>
      <c r="H15" s="529">
        <v>80</v>
      </c>
      <c r="I15" s="529">
        <v>40</v>
      </c>
      <c r="J15" s="529">
        <v>0</v>
      </c>
      <c r="K15" s="529">
        <v>0</v>
      </c>
      <c r="L15" s="529">
        <v>20</v>
      </c>
      <c r="M15" s="529">
        <v>0</v>
      </c>
      <c r="N15" s="529">
        <v>80</v>
      </c>
      <c r="O15" s="529">
        <v>80</v>
      </c>
      <c r="P15" s="519">
        <f t="shared" si="1"/>
        <v>563</v>
      </c>
    </row>
    <row r="16" spans="1:16" ht="18.75" customHeight="1">
      <c r="A16" s="507" t="s">
        <v>2</v>
      </c>
      <c r="B16" s="508">
        <v>0</v>
      </c>
      <c r="C16" s="508">
        <v>0</v>
      </c>
      <c r="D16" s="509">
        <v>611</v>
      </c>
      <c r="E16" s="508">
        <f t="shared" si="0"/>
        <v>656</v>
      </c>
      <c r="F16" s="529">
        <v>0</v>
      </c>
      <c r="G16" s="529"/>
      <c r="H16" s="529">
        <v>175</v>
      </c>
      <c r="I16" s="529">
        <v>0</v>
      </c>
      <c r="J16" s="529">
        <v>0</v>
      </c>
      <c r="K16" s="529">
        <v>0</v>
      </c>
      <c r="L16" s="529">
        <v>131</v>
      </c>
      <c r="M16" s="529">
        <v>0</v>
      </c>
      <c r="N16" s="529">
        <v>175</v>
      </c>
      <c r="O16" s="529">
        <v>175</v>
      </c>
      <c r="P16" s="519">
        <f t="shared" si="1"/>
        <v>1267</v>
      </c>
    </row>
    <row r="17" spans="1:16" ht="18.75" customHeight="1">
      <c r="A17" s="507" t="s">
        <v>0</v>
      </c>
      <c r="B17" s="508">
        <v>0</v>
      </c>
      <c r="C17" s="508">
        <v>0</v>
      </c>
      <c r="D17" s="508">
        <v>12183</v>
      </c>
      <c r="E17" s="508">
        <f t="shared" si="0"/>
        <v>8235</v>
      </c>
      <c r="F17" s="529">
        <v>0</v>
      </c>
      <c r="G17" s="529"/>
      <c r="H17" s="529">
        <v>1716</v>
      </c>
      <c r="I17" s="530">
        <v>686</v>
      </c>
      <c r="J17" s="529">
        <v>343</v>
      </c>
      <c r="K17" s="530">
        <v>343</v>
      </c>
      <c r="L17" s="530">
        <v>1373</v>
      </c>
      <c r="M17" s="529">
        <v>686</v>
      </c>
      <c r="N17" s="529">
        <v>1029</v>
      </c>
      <c r="O17" s="529">
        <v>2059</v>
      </c>
      <c r="P17" s="519">
        <f t="shared" si="1"/>
        <v>20418</v>
      </c>
    </row>
    <row r="18" spans="1:16" ht="18.75" customHeight="1">
      <c r="A18" s="521" t="s">
        <v>68</v>
      </c>
      <c r="B18" s="508">
        <v>0</v>
      </c>
      <c r="C18" s="508">
        <v>0</v>
      </c>
      <c r="D18" s="508">
        <v>140</v>
      </c>
      <c r="E18" s="508">
        <f t="shared" si="0"/>
        <v>36</v>
      </c>
      <c r="F18" s="529">
        <v>0</v>
      </c>
      <c r="G18" s="529"/>
      <c r="H18" s="529">
        <v>0</v>
      </c>
      <c r="I18" s="529">
        <v>0</v>
      </c>
      <c r="J18" s="529">
        <v>0</v>
      </c>
      <c r="K18" s="529">
        <v>12</v>
      </c>
      <c r="L18" s="529">
        <v>0</v>
      </c>
      <c r="M18" s="529">
        <v>0</v>
      </c>
      <c r="N18" s="529">
        <v>8</v>
      </c>
      <c r="O18" s="529">
        <v>16</v>
      </c>
      <c r="P18" s="519">
        <f t="shared" si="1"/>
        <v>176</v>
      </c>
    </row>
    <row r="19" spans="1:16" ht="18.75" customHeight="1">
      <c r="A19" s="507" t="s">
        <v>1</v>
      </c>
      <c r="B19" s="508">
        <v>0</v>
      </c>
      <c r="C19" s="508">
        <v>0</v>
      </c>
      <c r="D19" s="508">
        <v>246</v>
      </c>
      <c r="E19" s="508">
        <f t="shared" si="0"/>
        <v>0</v>
      </c>
      <c r="F19" s="529">
        <v>0</v>
      </c>
      <c r="G19" s="529"/>
      <c r="H19" s="529">
        <v>0</v>
      </c>
      <c r="I19" s="529">
        <v>0</v>
      </c>
      <c r="J19" s="529">
        <v>0</v>
      </c>
      <c r="K19" s="529">
        <v>0</v>
      </c>
      <c r="L19" s="529">
        <v>0</v>
      </c>
      <c r="M19" s="529">
        <v>0</v>
      </c>
      <c r="N19" s="529">
        <v>0</v>
      </c>
      <c r="O19" s="529">
        <v>0</v>
      </c>
      <c r="P19" s="519">
        <f t="shared" si="1"/>
        <v>246</v>
      </c>
    </row>
    <row r="20" spans="1:16" ht="18.75" customHeight="1">
      <c r="A20" s="507" t="s">
        <v>33</v>
      </c>
      <c r="B20" s="508">
        <v>0</v>
      </c>
      <c r="C20" s="508">
        <v>0</v>
      </c>
      <c r="D20" s="508">
        <v>351</v>
      </c>
      <c r="E20" s="508">
        <f t="shared" si="0"/>
        <v>635</v>
      </c>
      <c r="F20" s="529">
        <v>0</v>
      </c>
      <c r="G20" s="529"/>
      <c r="H20" s="529">
        <v>94</v>
      </c>
      <c r="I20" s="529">
        <v>94</v>
      </c>
      <c r="J20" s="529">
        <v>94</v>
      </c>
      <c r="K20" s="529">
        <v>24</v>
      </c>
      <c r="L20" s="529">
        <v>94</v>
      </c>
      <c r="M20" s="529">
        <v>94</v>
      </c>
      <c r="N20" s="529">
        <v>47</v>
      </c>
      <c r="O20" s="529">
        <v>94</v>
      </c>
      <c r="P20" s="519">
        <f t="shared" si="1"/>
        <v>986</v>
      </c>
    </row>
    <row r="21" spans="1:16" ht="18.75" customHeight="1" thickBot="1">
      <c r="A21" s="512" t="s">
        <v>5</v>
      </c>
      <c r="B21" s="513">
        <v>0</v>
      </c>
      <c r="C21" s="513">
        <v>0</v>
      </c>
      <c r="D21" s="513">
        <v>1003</v>
      </c>
      <c r="E21" s="513">
        <f t="shared" si="0"/>
        <v>336</v>
      </c>
      <c r="F21" s="531">
        <v>0</v>
      </c>
      <c r="G21" s="531"/>
      <c r="H21" s="531">
        <v>0</v>
      </c>
      <c r="I21" s="531">
        <v>168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168</v>
      </c>
      <c r="P21" s="520">
        <f t="shared" si="1"/>
        <v>1339</v>
      </c>
    </row>
    <row r="22" spans="1:16" ht="20.25" customHeight="1" thickBot="1">
      <c r="A22" s="514" t="s">
        <v>292</v>
      </c>
      <c r="B22" s="515">
        <f>SUM(B9:B21)</f>
        <v>1172</v>
      </c>
      <c r="C22" s="515">
        <f>SUM(C9:C21)</f>
        <v>0</v>
      </c>
      <c r="D22" s="516">
        <f>SUM(D9:D21)</f>
        <v>16452</v>
      </c>
      <c r="E22" s="515">
        <f>SUM(E9:E21)</f>
        <v>17580</v>
      </c>
      <c r="F22" s="532">
        <f aca="true" t="shared" si="2" ref="F22:O22">SUM(F9:F21)</f>
        <v>2052</v>
      </c>
      <c r="G22" s="532"/>
      <c r="H22" s="532">
        <f t="shared" si="2"/>
        <v>2885</v>
      </c>
      <c r="I22" s="532">
        <f t="shared" si="2"/>
        <v>1808</v>
      </c>
      <c r="J22" s="532">
        <f t="shared" si="2"/>
        <v>662</v>
      </c>
      <c r="K22" s="532">
        <f t="shared" si="2"/>
        <v>549</v>
      </c>
      <c r="L22" s="532">
        <f t="shared" si="2"/>
        <v>2128</v>
      </c>
      <c r="M22" s="532">
        <f t="shared" si="2"/>
        <v>1291</v>
      </c>
      <c r="N22" s="532">
        <f t="shared" si="2"/>
        <v>2081</v>
      </c>
      <c r="O22" s="532">
        <f t="shared" si="2"/>
        <v>3544</v>
      </c>
      <c r="P22" s="517">
        <f>SUM(B22:E22)</f>
        <v>35204</v>
      </c>
    </row>
    <row r="24" ht="12.75">
      <c r="P24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view="pageBreakPreview" zoomScaleSheetLayoutView="100" zoomScalePageLayoutView="0" workbookViewId="0" topLeftCell="A1">
      <pane xSplit="2" ySplit="7" topLeftCell="C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8" sqref="B68:D69"/>
    </sheetView>
  </sheetViews>
  <sheetFormatPr defaultColWidth="9.140625" defaultRowHeight="12.75"/>
  <cols>
    <col min="1" max="1" width="7.421875" style="72" customWidth="1"/>
    <col min="2" max="2" width="69.00390625" style="83" customWidth="1"/>
    <col min="3" max="3" width="10.28125" style="10" customWidth="1"/>
    <col min="4" max="4" width="12.7109375" style="72" customWidth="1"/>
    <col min="5" max="5" width="15.140625" style="72" customWidth="1"/>
    <col min="6" max="6" width="12.28125" style="72" customWidth="1"/>
    <col min="7" max="7" width="12.57421875" style="73" customWidth="1"/>
    <col min="8" max="8" width="10.421875" style="72" customWidth="1"/>
    <col min="9" max="9" width="13.57421875" style="72" customWidth="1"/>
    <col min="10" max="10" width="11.57421875" style="72" customWidth="1"/>
    <col min="11" max="12" width="10.00390625" style="72" customWidth="1"/>
    <col min="13" max="13" width="12.00390625" style="72" customWidth="1"/>
    <col min="14" max="15" width="12.00390625" style="72" bestFit="1" customWidth="1"/>
    <col min="16" max="16" width="12.421875" style="72" customWidth="1"/>
    <col min="17" max="17" width="11.140625" style="72" bestFit="1" customWidth="1"/>
    <col min="18" max="18" width="9.140625" style="72" customWidth="1"/>
    <col min="19" max="19" width="10.00390625" style="72" bestFit="1" customWidth="1"/>
    <col min="20" max="16384" width="9.140625" style="72" customWidth="1"/>
  </cols>
  <sheetData>
    <row r="1" spans="10:13" ht="15.75">
      <c r="J1" s="617" t="s">
        <v>402</v>
      </c>
      <c r="K1" s="617"/>
      <c r="L1" s="617"/>
      <c r="M1" s="617"/>
    </row>
    <row r="3" spans="1:13" ht="29.25" customHeight="1">
      <c r="A3" s="599" t="str">
        <f>'1. АМП'!A5</f>
        <v>РАСПРЕДЕЛЕНИЕ  ОБЪЁМОВ МЕДИЦИНСКОЙ ПОМОЩИ И ОБЪЕМОВ ФИНАНСОВОГО ОБЕСПЕЧЕНИЯ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</row>
    <row r="4" spans="1:13" ht="32.25" customHeight="1">
      <c r="A4" s="616" t="s">
        <v>403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</row>
    <row r="6" spans="1:13" ht="51" customHeight="1">
      <c r="A6" s="101"/>
      <c r="B6" s="88" t="s">
        <v>107</v>
      </c>
      <c r="C6" s="102" t="s">
        <v>65</v>
      </c>
      <c r="D6" s="103" t="s">
        <v>42</v>
      </c>
      <c r="E6" s="103" t="s">
        <v>55</v>
      </c>
      <c r="F6" s="103" t="s">
        <v>41</v>
      </c>
      <c r="G6" s="103" t="s">
        <v>223</v>
      </c>
      <c r="H6" s="103" t="s">
        <v>108</v>
      </c>
      <c r="I6" s="103" t="s">
        <v>116</v>
      </c>
      <c r="J6" s="103" t="s">
        <v>333</v>
      </c>
      <c r="K6" s="103" t="s">
        <v>243</v>
      </c>
      <c r="L6" s="103" t="s">
        <v>443</v>
      </c>
      <c r="M6" s="103" t="s">
        <v>200</v>
      </c>
    </row>
    <row r="7" spans="1:13" ht="15">
      <c r="A7" s="101">
        <v>1</v>
      </c>
      <c r="B7" s="225">
        <v>2</v>
      </c>
      <c r="C7" s="224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224">
        <v>9</v>
      </c>
      <c r="J7" s="224">
        <v>10</v>
      </c>
      <c r="K7" s="224">
        <v>11</v>
      </c>
      <c r="L7" s="224">
        <v>12</v>
      </c>
      <c r="M7" s="224">
        <v>13</v>
      </c>
    </row>
    <row r="8" spans="1:18" ht="18" customHeight="1">
      <c r="A8" s="104">
        <v>1</v>
      </c>
      <c r="B8" s="311" t="s">
        <v>203</v>
      </c>
      <c r="C8" s="99">
        <f aca="true" t="shared" si="0" ref="C8:C29">SUM(D8:M8)</f>
        <v>7321</v>
      </c>
      <c r="D8" s="100">
        <f aca="true" t="shared" si="1" ref="D8:M8">SUM(D9:D10)</f>
        <v>5991</v>
      </c>
      <c r="E8" s="100">
        <f t="shared" si="1"/>
        <v>1330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0">
        <f t="shared" si="1"/>
        <v>0</v>
      </c>
      <c r="L8" s="100">
        <f t="shared" si="1"/>
        <v>0</v>
      </c>
      <c r="M8" s="100">
        <f t="shared" si="1"/>
        <v>0</v>
      </c>
      <c r="O8" s="378">
        <f>SUM(O9:O10)</f>
        <v>52105.084149999995</v>
      </c>
      <c r="P8" s="378">
        <f>SUM(P9:P10)</f>
        <v>9430.5645</v>
      </c>
      <c r="R8" s="109"/>
    </row>
    <row r="9" spans="1:18" ht="15" customHeight="1">
      <c r="A9" s="75" t="s">
        <v>88</v>
      </c>
      <c r="B9" s="84" t="s">
        <v>89</v>
      </c>
      <c r="C9" s="79">
        <f t="shared" si="0"/>
        <v>5396</v>
      </c>
      <c r="D9" s="77">
        <v>4066</v>
      </c>
      <c r="E9" s="77">
        <v>1330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2">
        <v>7090.65</v>
      </c>
      <c r="O9" s="378">
        <f>N9*D9/1000</f>
        <v>28830.582899999998</v>
      </c>
      <c r="P9" s="378">
        <f>E9*N9/1000</f>
        <v>9430.5645</v>
      </c>
      <c r="R9" s="109"/>
    </row>
    <row r="10" spans="1:18" ht="15" customHeight="1">
      <c r="A10" s="75" t="s">
        <v>90</v>
      </c>
      <c r="B10" s="85" t="s">
        <v>91</v>
      </c>
      <c r="C10" s="79">
        <f t="shared" si="0"/>
        <v>1925</v>
      </c>
      <c r="D10" s="77">
        <v>1925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2">
        <v>12090.65</v>
      </c>
      <c r="O10" s="378">
        <f>N10*D10/1000</f>
        <v>23274.50125</v>
      </c>
      <c r="P10" s="378">
        <f>E10*N10/1000</f>
        <v>0</v>
      </c>
      <c r="R10" s="109"/>
    </row>
    <row r="11" spans="1:18" s="76" customFormat="1" ht="15" customHeight="1">
      <c r="A11" s="75" t="s">
        <v>92</v>
      </c>
      <c r="B11" s="85" t="s">
        <v>93</v>
      </c>
      <c r="C11" s="79">
        <f t="shared" si="0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R11" s="109"/>
    </row>
    <row r="12" spans="1:25" s="76" customFormat="1" ht="18.75" customHeight="1">
      <c r="A12" s="94">
        <v>2</v>
      </c>
      <c r="B12" s="312" t="s">
        <v>204</v>
      </c>
      <c r="C12" s="99">
        <f t="shared" si="0"/>
        <v>2856</v>
      </c>
      <c r="D12" s="100">
        <f>SUM(D13:D15)</f>
        <v>2666</v>
      </c>
      <c r="E12" s="100">
        <f aca="true" t="shared" si="2" ref="E12:L12">SUM(E13:E15)</f>
        <v>0</v>
      </c>
      <c r="F12" s="100">
        <f t="shared" si="2"/>
        <v>0</v>
      </c>
      <c r="G12" s="100">
        <f t="shared" si="2"/>
        <v>0</v>
      </c>
      <c r="H12" s="100">
        <f t="shared" si="2"/>
        <v>190</v>
      </c>
      <c r="I12" s="100">
        <f t="shared" si="2"/>
        <v>0</v>
      </c>
      <c r="J12" s="100">
        <f t="shared" si="2"/>
        <v>0</v>
      </c>
      <c r="K12" s="100">
        <f t="shared" si="2"/>
        <v>0</v>
      </c>
      <c r="L12" s="100">
        <f t="shared" si="2"/>
        <v>0</v>
      </c>
      <c r="M12" s="100">
        <f>SUM(M13:M15)</f>
        <v>0</v>
      </c>
      <c r="O12" s="378">
        <f>SUM(O13:O14)</f>
        <v>33760.4855</v>
      </c>
      <c r="P12" s="378">
        <f>SUM(P13:P14)</f>
        <v>2371.6325</v>
      </c>
      <c r="R12" s="109"/>
      <c r="S12" s="379"/>
      <c r="T12" s="379"/>
      <c r="U12" s="379"/>
      <c r="V12" s="379"/>
      <c r="W12" s="378"/>
      <c r="X12" s="378"/>
      <c r="Y12" s="378"/>
    </row>
    <row r="13" spans="1:25" s="76" customFormat="1" ht="15.75" customHeight="1">
      <c r="A13" s="75" t="s">
        <v>94</v>
      </c>
      <c r="B13" s="85" t="s">
        <v>89</v>
      </c>
      <c r="C13" s="79">
        <f t="shared" si="0"/>
        <v>2068</v>
      </c>
      <c r="D13" s="543">
        <v>1924</v>
      </c>
      <c r="E13" s="77">
        <v>0</v>
      </c>
      <c r="F13" s="77">
        <v>0</v>
      </c>
      <c r="G13" s="77">
        <v>0</v>
      </c>
      <c r="H13" s="77">
        <f>79+25+40</f>
        <v>144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6">
        <v>11271.75</v>
      </c>
      <c r="O13" s="378">
        <f>N13*D13/1000</f>
        <v>21686.847</v>
      </c>
      <c r="P13" s="378">
        <f>H13*N13/1000</f>
        <v>1623.132</v>
      </c>
      <c r="R13" s="109"/>
      <c r="S13" s="379"/>
      <c r="T13" s="379"/>
      <c r="U13" s="379"/>
      <c r="V13" s="379"/>
      <c r="W13" s="379"/>
      <c r="Y13" s="378"/>
    </row>
    <row r="14" spans="1:25" ht="15.75" customHeight="1">
      <c r="A14" s="75" t="s">
        <v>95</v>
      </c>
      <c r="B14" s="85" t="s">
        <v>91</v>
      </c>
      <c r="C14" s="79">
        <f t="shared" si="0"/>
        <v>788</v>
      </c>
      <c r="D14" s="543">
        <v>742</v>
      </c>
      <c r="E14" s="77">
        <v>0</v>
      </c>
      <c r="F14" s="77">
        <v>0</v>
      </c>
      <c r="G14" s="77">
        <v>0</v>
      </c>
      <c r="H14" s="77">
        <f>21+25</f>
        <v>46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2">
        <v>16271.75</v>
      </c>
      <c r="O14" s="378">
        <f>N14*D14/1000</f>
        <v>12073.6385</v>
      </c>
      <c r="P14" s="378">
        <f>H14*N14/1000</f>
        <v>748.5005</v>
      </c>
      <c r="R14" s="109"/>
      <c r="S14" s="380"/>
      <c r="T14" s="380"/>
      <c r="U14" s="380"/>
      <c r="V14" s="380"/>
      <c r="W14" s="379"/>
      <c r="Y14" s="378"/>
    </row>
    <row r="15" spans="1:18" s="76" customFormat="1" ht="15.75" customHeight="1">
      <c r="A15" s="75" t="s">
        <v>96</v>
      </c>
      <c r="B15" s="85" t="s">
        <v>93</v>
      </c>
      <c r="C15" s="79">
        <f t="shared" si="0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R15" s="109"/>
    </row>
    <row r="16" spans="1:18" s="76" customFormat="1" ht="19.5" customHeight="1">
      <c r="A16" s="98">
        <v>3</v>
      </c>
      <c r="B16" s="312" t="s">
        <v>465</v>
      </c>
      <c r="C16" s="99">
        <f t="shared" si="0"/>
        <v>6142</v>
      </c>
      <c r="D16" s="100">
        <f aca="true" t="shared" si="3" ref="D16:M16">SUM(D17:D20)</f>
        <v>1405</v>
      </c>
      <c r="E16" s="100">
        <f t="shared" si="3"/>
        <v>1157</v>
      </c>
      <c r="F16" s="100">
        <f t="shared" si="3"/>
        <v>1450</v>
      </c>
      <c r="G16" s="100">
        <f t="shared" si="3"/>
        <v>2130</v>
      </c>
      <c r="H16" s="100">
        <f t="shared" si="3"/>
        <v>0</v>
      </c>
      <c r="I16" s="100">
        <f t="shared" si="3"/>
        <v>0</v>
      </c>
      <c r="J16" s="100">
        <f t="shared" si="3"/>
        <v>0</v>
      </c>
      <c r="K16" s="100">
        <f t="shared" si="3"/>
        <v>0</v>
      </c>
      <c r="L16" s="100">
        <f t="shared" si="3"/>
        <v>0</v>
      </c>
      <c r="M16" s="100">
        <f t="shared" si="3"/>
        <v>0</v>
      </c>
      <c r="O16" s="560">
        <f>SUM(O17:O20)</f>
        <v>3799.9512999999997</v>
      </c>
      <c r="P16" s="560">
        <f>SUM(P17:P20)</f>
        <v>3712.9066</v>
      </c>
      <c r="Q16" s="560">
        <f>SUM(Q17:Q20)</f>
        <v>3129.97</v>
      </c>
      <c r="R16" s="560">
        <f>SUM(R17:R20)</f>
        <v>5259.0162</v>
      </c>
    </row>
    <row r="17" spans="1:18" s="76" customFormat="1" ht="14.25" customHeight="1">
      <c r="A17" s="466" t="s">
        <v>97</v>
      </c>
      <c r="B17" s="86" t="s">
        <v>168</v>
      </c>
      <c r="C17" s="79">
        <f t="shared" si="0"/>
        <v>2471</v>
      </c>
      <c r="D17" s="7">
        <f>650+67</f>
        <v>717</v>
      </c>
      <c r="E17" s="7">
        <v>1136</v>
      </c>
      <c r="F17" s="7">
        <v>0</v>
      </c>
      <c r="G17" s="113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6">
        <v>3228.5</v>
      </c>
      <c r="O17" s="378">
        <f>N17*D17/1000</f>
        <v>2314.8345</v>
      </c>
      <c r="P17" s="378">
        <f>E17*N17/1000</f>
        <v>3667.576</v>
      </c>
      <c r="Q17" s="378">
        <f>F17*N17/1000</f>
        <v>0</v>
      </c>
      <c r="R17" s="109">
        <f>G17*N17/1000</f>
        <v>1995.213</v>
      </c>
    </row>
    <row r="18" spans="1:18" ht="14.25" customHeight="1">
      <c r="A18" s="466" t="s">
        <v>98</v>
      </c>
      <c r="B18" s="86" t="s">
        <v>151</v>
      </c>
      <c r="C18" s="79">
        <f t="shared" si="0"/>
        <v>375</v>
      </c>
      <c r="D18" s="7">
        <v>363</v>
      </c>
      <c r="E18" s="7"/>
      <c r="F18" s="7">
        <v>0</v>
      </c>
      <c r="G18" s="113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2">
        <v>2158.6</v>
      </c>
      <c r="O18" s="378">
        <f>N18*D18/1000</f>
        <v>783.5717999999999</v>
      </c>
      <c r="P18" s="378">
        <f>E18*N18/1000</f>
        <v>0</v>
      </c>
      <c r="Q18" s="378">
        <f>F18*N18/1000</f>
        <v>0</v>
      </c>
      <c r="R18" s="109">
        <f>G18*N18/1000</f>
        <v>25.9032</v>
      </c>
    </row>
    <row r="19" spans="1:18" ht="14.25" customHeight="1">
      <c r="A19" s="466" t="s">
        <v>99</v>
      </c>
      <c r="B19" s="86" t="s">
        <v>152</v>
      </c>
      <c r="C19" s="79">
        <f t="shared" si="0"/>
        <v>3296</v>
      </c>
      <c r="D19" s="7">
        <v>325</v>
      </c>
      <c r="E19" s="7">
        <v>21</v>
      </c>
      <c r="F19" s="7">
        <v>1450</v>
      </c>
      <c r="G19" s="113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2">
        <v>2158.6</v>
      </c>
      <c r="O19" s="378">
        <f>N19*D19/1000</f>
        <v>701.545</v>
      </c>
      <c r="P19" s="378">
        <f>E19*N19/1000</f>
        <v>45.3306</v>
      </c>
      <c r="Q19" s="378">
        <f>F19*N19/1000</f>
        <v>3129.97</v>
      </c>
      <c r="R19" s="109">
        <f>G19*N19/1000</f>
        <v>3237.9</v>
      </c>
    </row>
    <row r="20" spans="1:18" ht="14.25" customHeight="1">
      <c r="A20" s="74" t="s">
        <v>100</v>
      </c>
      <c r="B20" s="86" t="s">
        <v>93</v>
      </c>
      <c r="C20" s="79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9"/>
    </row>
    <row r="21" spans="1:18" ht="19.5" customHeight="1">
      <c r="A21" s="94">
        <v>4</v>
      </c>
      <c r="B21" s="311" t="s">
        <v>202</v>
      </c>
      <c r="C21" s="99">
        <f t="shared" si="0"/>
        <v>5490</v>
      </c>
      <c r="D21" s="100">
        <f>SUM(D22:D29)</f>
        <v>5385</v>
      </c>
      <c r="E21" s="100">
        <f>SUM(E22:E29)</f>
        <v>105</v>
      </c>
      <c r="F21" s="100">
        <f>SUM(F22:F29)</f>
        <v>0</v>
      </c>
      <c r="G21" s="100">
        <f>SUM(G22:G29)</f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O21" s="559">
        <f>SUM(O22:O29)</f>
        <v>17771.0171</v>
      </c>
      <c r="P21" s="559">
        <f>SUM(P22:P29)</f>
        <v>299.16540000000003</v>
      </c>
      <c r="R21" s="109"/>
    </row>
    <row r="22" spans="1:18" s="114" customFormat="1" ht="15.75">
      <c r="A22" s="110" t="s">
        <v>160</v>
      </c>
      <c r="B22" s="111" t="s">
        <v>153</v>
      </c>
      <c r="C22" s="79">
        <f t="shared" si="0"/>
        <v>373</v>
      </c>
      <c r="D22" s="113">
        <v>373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4">
        <v>2916.9</v>
      </c>
      <c r="O22" s="378">
        <f aca="true" t="shared" si="4" ref="O22:O29">N22*D22/1000</f>
        <v>1088.0037</v>
      </c>
      <c r="P22" s="378">
        <f aca="true" t="shared" si="5" ref="P22:P29">E22*N22/1000</f>
        <v>0</v>
      </c>
      <c r="R22" s="109"/>
    </row>
    <row r="23" spans="1:18" s="114" customFormat="1" ht="15.75">
      <c r="A23" s="110" t="s">
        <v>161</v>
      </c>
      <c r="B23" s="111" t="s">
        <v>154</v>
      </c>
      <c r="C23" s="79">
        <f t="shared" si="0"/>
        <v>3808</v>
      </c>
      <c r="D23" s="113">
        <f>3808-E23</f>
        <v>3704</v>
      </c>
      <c r="E23" s="113">
        <v>104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4">
        <v>2830.9</v>
      </c>
      <c r="O23" s="378">
        <f t="shared" si="4"/>
        <v>10485.6536</v>
      </c>
      <c r="P23" s="378">
        <f t="shared" si="5"/>
        <v>294.41360000000003</v>
      </c>
      <c r="R23" s="109"/>
    </row>
    <row r="24" spans="1:18" s="114" customFormat="1" ht="15.75">
      <c r="A24" s="110" t="s">
        <v>162</v>
      </c>
      <c r="B24" s="111" t="s">
        <v>155</v>
      </c>
      <c r="C24" s="79">
        <f t="shared" si="0"/>
        <v>0</v>
      </c>
      <c r="D24" s="113">
        <v>0</v>
      </c>
      <c r="E24" s="113"/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O24" s="378">
        <f t="shared" si="4"/>
        <v>0</v>
      </c>
      <c r="P24" s="378">
        <f t="shared" si="5"/>
        <v>0</v>
      </c>
      <c r="R24" s="109"/>
    </row>
    <row r="25" spans="1:18" s="114" customFormat="1" ht="15.75">
      <c r="A25" s="110" t="s">
        <v>163</v>
      </c>
      <c r="B25" s="111" t="s">
        <v>156</v>
      </c>
      <c r="C25" s="79">
        <f t="shared" si="0"/>
        <v>1301</v>
      </c>
      <c r="D25" s="113">
        <v>1300</v>
      </c>
      <c r="E25" s="113">
        <v>1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4">
        <v>4751.8</v>
      </c>
      <c r="O25" s="378">
        <f t="shared" si="4"/>
        <v>6177.34</v>
      </c>
      <c r="P25" s="378">
        <f t="shared" si="5"/>
        <v>4.7518</v>
      </c>
      <c r="R25" s="109"/>
    </row>
    <row r="26" spans="1:18" s="114" customFormat="1" ht="15.75">
      <c r="A26" s="110" t="s">
        <v>164</v>
      </c>
      <c r="B26" s="111" t="s">
        <v>157</v>
      </c>
      <c r="C26" s="79">
        <f t="shared" si="0"/>
        <v>1</v>
      </c>
      <c r="D26" s="113">
        <v>1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4">
        <v>3098</v>
      </c>
      <c r="O26" s="378">
        <f t="shared" si="4"/>
        <v>3.098</v>
      </c>
      <c r="P26" s="378">
        <f t="shared" si="5"/>
        <v>0</v>
      </c>
      <c r="R26" s="109"/>
    </row>
    <row r="27" spans="1:18" s="114" customFormat="1" ht="15.75">
      <c r="A27" s="110" t="s">
        <v>165</v>
      </c>
      <c r="B27" s="111" t="s">
        <v>158</v>
      </c>
      <c r="C27" s="79">
        <f t="shared" si="0"/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O27" s="378">
        <f t="shared" si="4"/>
        <v>0</v>
      </c>
      <c r="P27" s="378">
        <f t="shared" si="5"/>
        <v>0</v>
      </c>
      <c r="R27" s="109"/>
    </row>
    <row r="28" spans="1:18" s="114" customFormat="1" ht="15.75">
      <c r="A28" s="110" t="s">
        <v>166</v>
      </c>
      <c r="B28" s="111" t="s">
        <v>159</v>
      </c>
      <c r="C28" s="79">
        <f t="shared" si="0"/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O28" s="378">
        <f t="shared" si="4"/>
        <v>0</v>
      </c>
      <c r="P28" s="378">
        <f t="shared" si="5"/>
        <v>0</v>
      </c>
      <c r="R28" s="109"/>
    </row>
    <row r="29" spans="1:18" s="114" customFormat="1" ht="15.75">
      <c r="A29" s="110" t="s">
        <v>167</v>
      </c>
      <c r="B29" s="111" t="s">
        <v>93</v>
      </c>
      <c r="C29" s="79">
        <f t="shared" si="0"/>
        <v>7</v>
      </c>
      <c r="D29" s="113">
        <v>7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4">
        <v>2417.4</v>
      </c>
      <c r="O29" s="378">
        <f t="shared" si="4"/>
        <v>16.921799999999998</v>
      </c>
      <c r="P29" s="378">
        <f t="shared" si="5"/>
        <v>0</v>
      </c>
      <c r="R29" s="109"/>
    </row>
    <row r="30" spans="1:18" ht="26.25" customHeight="1">
      <c r="A30" s="94">
        <v>5</v>
      </c>
      <c r="B30" s="311" t="s">
        <v>468</v>
      </c>
      <c r="C30" s="99">
        <f>SUM(D30:M30)</f>
        <v>131</v>
      </c>
      <c r="D30" s="100">
        <f aca="true" t="shared" si="6" ref="D30:K30">SUM(D31:D41)</f>
        <v>0</v>
      </c>
      <c r="E30" s="100">
        <f t="shared" si="6"/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00">
        <f>SUM(L31:L41)</f>
        <v>34</v>
      </c>
      <c r="M30" s="100">
        <f>SUM(M31:M41)</f>
        <v>97</v>
      </c>
      <c r="P30" s="109"/>
      <c r="R30" s="109"/>
    </row>
    <row r="31" spans="1:18" ht="15.75" customHeight="1">
      <c r="A31" s="81" t="s">
        <v>101</v>
      </c>
      <c r="B31" s="85" t="s">
        <v>447</v>
      </c>
      <c r="C31" s="80">
        <v>42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12</v>
      </c>
      <c r="M31" s="544">
        <f aca="true" t="shared" si="7" ref="M31:M41">C31-L31</f>
        <v>30</v>
      </c>
      <c r="R31" s="109"/>
    </row>
    <row r="32" spans="1:18" ht="15.75" customHeight="1">
      <c r="A32" s="81" t="s">
        <v>102</v>
      </c>
      <c r="B32" s="85" t="s">
        <v>448</v>
      </c>
      <c r="C32" s="80">
        <v>9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2</v>
      </c>
      <c r="M32" s="544">
        <f t="shared" si="7"/>
        <v>7</v>
      </c>
      <c r="R32" s="109"/>
    </row>
    <row r="33" spans="1:18" s="76" customFormat="1" ht="15.75" customHeight="1">
      <c r="A33" s="81" t="s">
        <v>103</v>
      </c>
      <c r="B33" s="85" t="s">
        <v>449</v>
      </c>
      <c r="C33" s="80">
        <v>13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5</v>
      </c>
      <c r="M33" s="544">
        <f t="shared" si="7"/>
        <v>8</v>
      </c>
      <c r="R33" s="109"/>
    </row>
    <row r="34" spans="1:18" s="76" customFormat="1" ht="15.75" customHeight="1">
      <c r="A34" s="81" t="s">
        <v>104</v>
      </c>
      <c r="B34" s="85" t="s">
        <v>450</v>
      </c>
      <c r="C34" s="80">
        <v>28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6</v>
      </c>
      <c r="M34" s="544">
        <f t="shared" si="7"/>
        <v>22</v>
      </c>
      <c r="R34" s="109"/>
    </row>
    <row r="35" spans="1:18" s="76" customFormat="1" ht="15.75" customHeight="1">
      <c r="A35" s="81" t="s">
        <v>105</v>
      </c>
      <c r="B35" s="85" t="s">
        <v>451</v>
      </c>
      <c r="C35" s="80">
        <v>4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f>ROUND(C35/131*31,0)</f>
        <v>1</v>
      </c>
      <c r="M35" s="544">
        <f t="shared" si="7"/>
        <v>3</v>
      </c>
      <c r="R35" s="109"/>
    </row>
    <row r="36" spans="1:18" s="76" customFormat="1" ht="25.5" customHeight="1">
      <c r="A36" s="81" t="s">
        <v>106</v>
      </c>
      <c r="B36" s="84" t="s">
        <v>452</v>
      </c>
      <c r="C36" s="80">
        <v>21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5</v>
      </c>
      <c r="M36" s="544">
        <f t="shared" si="7"/>
        <v>16</v>
      </c>
      <c r="R36" s="109"/>
    </row>
    <row r="37" spans="1:18" s="76" customFormat="1" ht="25.5" customHeight="1">
      <c r="A37" s="81" t="s">
        <v>444</v>
      </c>
      <c r="B37" s="84" t="s">
        <v>453</v>
      </c>
      <c r="C37" s="80">
        <v>9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f>ROUND(C37/131*31,0)</f>
        <v>2</v>
      </c>
      <c r="M37" s="544">
        <f t="shared" si="7"/>
        <v>7</v>
      </c>
      <c r="R37" s="109"/>
    </row>
    <row r="38" spans="1:18" s="76" customFormat="1" ht="15.75" customHeight="1">
      <c r="A38" s="81" t="s">
        <v>445</v>
      </c>
      <c r="B38" s="84" t="s">
        <v>454</v>
      </c>
      <c r="C38" s="80">
        <v>4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f>ROUND(C38/131*31,0)</f>
        <v>1</v>
      </c>
      <c r="M38" s="544">
        <f t="shared" si="7"/>
        <v>3</v>
      </c>
      <c r="R38" s="109"/>
    </row>
    <row r="39" spans="1:18" s="76" customFormat="1" ht="26.25" customHeight="1">
      <c r="A39" s="81" t="s">
        <v>446</v>
      </c>
      <c r="B39" s="84" t="s">
        <v>455</v>
      </c>
      <c r="C39" s="80">
        <v>1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544">
        <f t="shared" si="7"/>
        <v>1</v>
      </c>
      <c r="R39" s="109"/>
    </row>
    <row r="40" spans="1:18" s="76" customFormat="1" ht="27" customHeight="1">
      <c r="A40" s="81" t="s">
        <v>456</v>
      </c>
      <c r="B40" s="84" t="s">
        <v>458</v>
      </c>
      <c r="C40" s="80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/>
      <c r="M40" s="544">
        <f t="shared" si="7"/>
        <v>0</v>
      </c>
      <c r="R40" s="109"/>
    </row>
    <row r="41" spans="1:18" s="76" customFormat="1" ht="15.75">
      <c r="A41" s="81" t="s">
        <v>457</v>
      </c>
      <c r="B41" s="84" t="s">
        <v>93</v>
      </c>
      <c r="C41" s="80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/>
      <c r="M41" s="544">
        <f t="shared" si="7"/>
        <v>0</v>
      </c>
      <c r="R41" s="109"/>
    </row>
    <row r="42" spans="1:18" s="76" customFormat="1" ht="41.25" customHeight="1">
      <c r="A42" s="98">
        <v>6</v>
      </c>
      <c r="B42" s="311" t="s">
        <v>189</v>
      </c>
      <c r="C42" s="99">
        <f aca="true" t="shared" si="8" ref="C42:C72">SUM(D42:M42)</f>
        <v>1777</v>
      </c>
      <c r="D42" s="97">
        <v>1777</v>
      </c>
      <c r="E42" s="96">
        <v>0</v>
      </c>
      <c r="F42" s="96">
        <v>0</v>
      </c>
      <c r="G42" s="97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R42" s="109"/>
    </row>
    <row r="43" spans="1:18" s="76" customFormat="1" ht="29.25" customHeight="1">
      <c r="A43" s="94">
        <v>7</v>
      </c>
      <c r="B43" s="311" t="s">
        <v>197</v>
      </c>
      <c r="C43" s="99">
        <f t="shared" si="8"/>
        <v>37056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37056</v>
      </c>
      <c r="K43" s="100">
        <v>0</v>
      </c>
      <c r="L43" s="100">
        <v>0</v>
      </c>
      <c r="M43" s="100">
        <v>0</v>
      </c>
      <c r="N43" s="555">
        <v>1412.99</v>
      </c>
      <c r="O43" s="556">
        <f>N43*J43/1000</f>
        <v>52359.75744</v>
      </c>
      <c r="R43" s="109"/>
    </row>
    <row r="44" spans="1:18" s="76" customFormat="1" ht="21.75" customHeight="1">
      <c r="A44" s="94">
        <v>8</v>
      </c>
      <c r="B44" s="311" t="s">
        <v>201</v>
      </c>
      <c r="C44" s="99">
        <f t="shared" si="8"/>
        <v>4369</v>
      </c>
      <c r="D44" s="100">
        <f aca="true" t="shared" si="9" ref="D44:I44">SUM(D45:D63)</f>
        <v>0</v>
      </c>
      <c r="E44" s="100">
        <f t="shared" si="9"/>
        <v>0</v>
      </c>
      <c r="F44" s="100">
        <f t="shared" si="9"/>
        <v>0</v>
      </c>
      <c r="G44" s="100">
        <f t="shared" si="9"/>
        <v>0</v>
      </c>
      <c r="H44" s="100">
        <f t="shared" si="9"/>
        <v>0</v>
      </c>
      <c r="I44" s="100">
        <f t="shared" si="9"/>
        <v>288</v>
      </c>
      <c r="J44" s="100">
        <f>SUM(J45:J63)</f>
        <v>4081</v>
      </c>
      <c r="K44" s="100">
        <f>SUM(K45:K63)</f>
        <v>0</v>
      </c>
      <c r="L44" s="100">
        <f>SUM(L45:L63)</f>
        <v>0</v>
      </c>
      <c r="M44" s="100">
        <f>SUM(M45:M63)</f>
        <v>0</v>
      </c>
      <c r="O44" s="378">
        <f>SUM(O45:O52)</f>
        <v>474.18</v>
      </c>
      <c r="R44" s="109"/>
    </row>
    <row r="45" spans="1:18" ht="40.5" customHeight="1">
      <c r="A45" s="81" t="s">
        <v>125</v>
      </c>
      <c r="B45" s="85" t="s">
        <v>117</v>
      </c>
      <c r="C45" s="80">
        <f t="shared" si="8"/>
        <v>200</v>
      </c>
      <c r="D45" s="77">
        <v>0</v>
      </c>
      <c r="E45" s="77">
        <v>0</v>
      </c>
      <c r="F45" s="77">
        <v>0</v>
      </c>
      <c r="G45" s="389">
        <v>0</v>
      </c>
      <c r="H45" s="77">
        <v>0</v>
      </c>
      <c r="I45" s="77">
        <v>200</v>
      </c>
      <c r="J45" s="77">
        <v>0</v>
      </c>
      <c r="K45" s="77"/>
      <c r="L45" s="77"/>
      <c r="M45" s="77">
        <v>0</v>
      </c>
      <c r="N45" s="72">
        <v>1500</v>
      </c>
      <c r="O45" s="464">
        <f>N45*I45/1000</f>
        <v>300</v>
      </c>
      <c r="R45" s="109"/>
    </row>
    <row r="46" spans="1:18" ht="18" customHeight="1">
      <c r="A46" s="81" t="s">
        <v>126</v>
      </c>
      <c r="B46" s="85" t="s">
        <v>118</v>
      </c>
      <c r="C46" s="80">
        <f t="shared" si="8"/>
        <v>40</v>
      </c>
      <c r="D46" s="77">
        <v>0</v>
      </c>
      <c r="E46" s="77">
        <v>0</v>
      </c>
      <c r="F46" s="77">
        <v>0</v>
      </c>
      <c r="G46" s="389">
        <v>0</v>
      </c>
      <c r="H46" s="77">
        <v>0</v>
      </c>
      <c r="I46" s="77">
        <v>40</v>
      </c>
      <c r="J46" s="77">
        <v>0</v>
      </c>
      <c r="K46" s="77"/>
      <c r="L46" s="77"/>
      <c r="M46" s="77">
        <v>0</v>
      </c>
      <c r="N46" s="72">
        <v>1825</v>
      </c>
      <c r="O46" s="464">
        <f aca="true" t="shared" si="10" ref="O46:O52">N46*I46/1000</f>
        <v>73</v>
      </c>
      <c r="R46" s="109"/>
    </row>
    <row r="47" spans="1:18" ht="18" customHeight="1">
      <c r="A47" s="81" t="s">
        <v>169</v>
      </c>
      <c r="B47" s="85" t="s">
        <v>119</v>
      </c>
      <c r="C47" s="80">
        <f t="shared" si="8"/>
        <v>1</v>
      </c>
      <c r="D47" s="77">
        <v>0</v>
      </c>
      <c r="E47" s="77">
        <v>0</v>
      </c>
      <c r="F47" s="77">
        <v>0</v>
      </c>
      <c r="G47" s="389">
        <v>0</v>
      </c>
      <c r="H47" s="77">
        <v>0</v>
      </c>
      <c r="I47" s="77">
        <v>1</v>
      </c>
      <c r="J47" s="77">
        <v>0</v>
      </c>
      <c r="K47" s="77"/>
      <c r="L47" s="77"/>
      <c r="M47" s="77">
        <v>0</v>
      </c>
      <c r="N47" s="72">
        <v>1685</v>
      </c>
      <c r="O47" s="464">
        <f t="shared" si="10"/>
        <v>1.685</v>
      </c>
      <c r="R47" s="109"/>
    </row>
    <row r="48" spans="1:18" ht="18" customHeight="1">
      <c r="A48" s="81" t="s">
        <v>192</v>
      </c>
      <c r="B48" s="85" t="s">
        <v>120</v>
      </c>
      <c r="C48" s="80">
        <f t="shared" si="8"/>
        <v>1</v>
      </c>
      <c r="D48" s="77">
        <v>0</v>
      </c>
      <c r="E48" s="77">
        <v>0</v>
      </c>
      <c r="F48" s="77">
        <v>0</v>
      </c>
      <c r="G48" s="389">
        <v>0</v>
      </c>
      <c r="H48" s="77">
        <v>0</v>
      </c>
      <c r="I48" s="77">
        <v>1</v>
      </c>
      <c r="J48" s="77">
        <v>0</v>
      </c>
      <c r="K48" s="77"/>
      <c r="L48" s="77"/>
      <c r="M48" s="77">
        <v>0</v>
      </c>
      <c r="N48" s="72">
        <v>1685</v>
      </c>
      <c r="O48" s="464">
        <f t="shared" si="10"/>
        <v>1.685</v>
      </c>
      <c r="R48" s="109"/>
    </row>
    <row r="49" spans="1:18" ht="18" customHeight="1">
      <c r="A49" s="81" t="s">
        <v>193</v>
      </c>
      <c r="B49" s="85" t="s">
        <v>121</v>
      </c>
      <c r="C49" s="80">
        <f t="shared" si="8"/>
        <v>2</v>
      </c>
      <c r="D49" s="77">
        <v>0</v>
      </c>
      <c r="E49" s="77">
        <v>0</v>
      </c>
      <c r="F49" s="77">
        <v>0</v>
      </c>
      <c r="G49" s="389">
        <v>0</v>
      </c>
      <c r="H49" s="77">
        <v>0</v>
      </c>
      <c r="I49" s="77">
        <f>10-8</f>
        <v>2</v>
      </c>
      <c r="J49" s="77">
        <v>0</v>
      </c>
      <c r="K49" s="77"/>
      <c r="L49" s="77"/>
      <c r="M49" s="77">
        <v>0</v>
      </c>
      <c r="N49" s="72">
        <v>2955</v>
      </c>
      <c r="O49" s="464">
        <f t="shared" si="10"/>
        <v>5.91</v>
      </c>
      <c r="R49" s="109"/>
    </row>
    <row r="50" spans="1:18" ht="18" customHeight="1">
      <c r="A50" s="81" t="s">
        <v>194</v>
      </c>
      <c r="B50" s="85" t="s">
        <v>122</v>
      </c>
      <c r="C50" s="80">
        <f t="shared" si="8"/>
        <v>4</v>
      </c>
      <c r="D50" s="77">
        <v>0</v>
      </c>
      <c r="E50" s="77">
        <v>0</v>
      </c>
      <c r="F50" s="77">
        <v>0</v>
      </c>
      <c r="G50" s="78">
        <v>0</v>
      </c>
      <c r="H50" s="77">
        <v>0</v>
      </c>
      <c r="I50" s="77">
        <f>20-16</f>
        <v>4</v>
      </c>
      <c r="J50" s="77">
        <v>0</v>
      </c>
      <c r="K50" s="77"/>
      <c r="L50" s="77"/>
      <c r="M50" s="77">
        <v>0</v>
      </c>
      <c r="N50" s="72">
        <v>1525</v>
      </c>
      <c r="O50" s="464">
        <f t="shared" si="10"/>
        <v>6.1</v>
      </c>
      <c r="R50" s="109"/>
    </row>
    <row r="51" spans="1:18" ht="15.75" customHeight="1">
      <c r="A51" s="81" t="s">
        <v>195</v>
      </c>
      <c r="B51" s="85" t="s">
        <v>123</v>
      </c>
      <c r="C51" s="80">
        <f t="shared" si="8"/>
        <v>19</v>
      </c>
      <c r="D51" s="77">
        <v>0</v>
      </c>
      <c r="E51" s="77">
        <v>0</v>
      </c>
      <c r="F51" s="77">
        <v>0</v>
      </c>
      <c r="G51" s="78">
        <v>0</v>
      </c>
      <c r="H51" s="77">
        <v>0</v>
      </c>
      <c r="I51" s="77">
        <f>9+10</f>
        <v>19</v>
      </c>
      <c r="J51" s="77">
        <v>0</v>
      </c>
      <c r="K51" s="77"/>
      <c r="L51" s="77"/>
      <c r="M51" s="77">
        <v>0</v>
      </c>
      <c r="N51" s="72">
        <v>1725</v>
      </c>
      <c r="O51" s="464">
        <f t="shared" si="10"/>
        <v>32.775</v>
      </c>
      <c r="R51" s="109"/>
    </row>
    <row r="52" spans="1:18" ht="15.75" customHeight="1">
      <c r="A52" s="81" t="s">
        <v>196</v>
      </c>
      <c r="B52" s="85" t="s">
        <v>124</v>
      </c>
      <c r="C52" s="80">
        <f t="shared" si="8"/>
        <v>21</v>
      </c>
      <c r="D52" s="77">
        <v>0</v>
      </c>
      <c r="E52" s="77">
        <v>0</v>
      </c>
      <c r="F52" s="77">
        <v>0</v>
      </c>
      <c r="G52" s="78">
        <v>0</v>
      </c>
      <c r="H52" s="77">
        <v>0</v>
      </c>
      <c r="I52" s="77">
        <f>9+12</f>
        <v>21</v>
      </c>
      <c r="J52" s="77">
        <v>0</v>
      </c>
      <c r="K52" s="77"/>
      <c r="L52" s="77"/>
      <c r="M52" s="77">
        <v>0</v>
      </c>
      <c r="N52" s="72">
        <v>2525</v>
      </c>
      <c r="O52" s="464">
        <f t="shared" si="10"/>
        <v>53.025</v>
      </c>
      <c r="P52" s="464"/>
      <c r="R52" s="109"/>
    </row>
    <row r="53" spans="1:18" ht="15.75" customHeight="1">
      <c r="A53" s="81" t="s">
        <v>318</v>
      </c>
      <c r="B53" s="85" t="s">
        <v>336</v>
      </c>
      <c r="C53" s="80">
        <f t="shared" si="8"/>
        <v>940</v>
      </c>
      <c r="D53" s="77"/>
      <c r="E53" s="77"/>
      <c r="F53" s="77"/>
      <c r="G53" s="389"/>
      <c r="H53" s="77"/>
      <c r="I53" s="77"/>
      <c r="J53" s="77">
        <v>940</v>
      </c>
      <c r="K53" s="77"/>
      <c r="L53" s="77"/>
      <c r="M53" s="77"/>
      <c r="N53" s="557">
        <v>450</v>
      </c>
      <c r="O53" s="558">
        <f>J53*N53/1000</f>
        <v>423</v>
      </c>
      <c r="P53" s="464"/>
      <c r="R53" s="109"/>
    </row>
    <row r="54" spans="1:18" ht="15.75" customHeight="1">
      <c r="A54" s="81" t="s">
        <v>319</v>
      </c>
      <c r="B54" s="85" t="s">
        <v>337</v>
      </c>
      <c r="C54" s="80">
        <f t="shared" si="8"/>
        <v>600</v>
      </c>
      <c r="D54" s="77"/>
      <c r="E54" s="77"/>
      <c r="F54" s="77"/>
      <c r="G54" s="389"/>
      <c r="H54" s="77"/>
      <c r="I54" s="77"/>
      <c r="J54" s="77">
        <v>600</v>
      </c>
      <c r="K54" s="77"/>
      <c r="L54" s="77"/>
      <c r="M54" s="77"/>
      <c r="N54" s="557">
        <v>450</v>
      </c>
      <c r="O54" s="558">
        <f aca="true" t="shared" si="11" ref="O54:O63">J54*N54/1000</f>
        <v>270</v>
      </c>
      <c r="P54" s="464"/>
      <c r="R54" s="109"/>
    </row>
    <row r="55" spans="1:18" ht="15.75" customHeight="1">
      <c r="A55" s="81" t="s">
        <v>320</v>
      </c>
      <c r="B55" s="85" t="s">
        <v>338</v>
      </c>
      <c r="C55" s="80">
        <f t="shared" si="8"/>
        <v>233</v>
      </c>
      <c r="D55" s="77"/>
      <c r="E55" s="77"/>
      <c r="F55" s="77"/>
      <c r="G55" s="389"/>
      <c r="H55" s="77"/>
      <c r="I55" s="77"/>
      <c r="J55" s="77">
        <v>233</v>
      </c>
      <c r="K55" s="77"/>
      <c r="L55" s="77"/>
      <c r="M55" s="77"/>
      <c r="N55" s="557">
        <v>420</v>
      </c>
      <c r="O55" s="558">
        <f t="shared" si="11"/>
        <v>97.86</v>
      </c>
      <c r="P55" s="464"/>
      <c r="R55" s="109"/>
    </row>
    <row r="56" spans="1:18" ht="29.25" customHeight="1">
      <c r="A56" s="81" t="s">
        <v>321</v>
      </c>
      <c r="B56" s="85" t="s">
        <v>339</v>
      </c>
      <c r="C56" s="80">
        <f t="shared" si="8"/>
        <v>345</v>
      </c>
      <c r="D56" s="77"/>
      <c r="E56" s="77"/>
      <c r="F56" s="77"/>
      <c r="G56" s="389"/>
      <c r="H56" s="77"/>
      <c r="I56" s="77"/>
      <c r="J56" s="77">
        <v>345</v>
      </c>
      <c r="K56" s="77"/>
      <c r="L56" s="77"/>
      <c r="M56" s="77"/>
      <c r="N56" s="557">
        <v>540</v>
      </c>
      <c r="O56" s="558">
        <f t="shared" si="11"/>
        <v>186.3</v>
      </c>
      <c r="P56" s="464"/>
      <c r="R56" s="109"/>
    </row>
    <row r="57" spans="1:18" ht="29.25" customHeight="1">
      <c r="A57" s="81" t="s">
        <v>322</v>
      </c>
      <c r="B57" s="85" t="s">
        <v>340</v>
      </c>
      <c r="C57" s="80">
        <f t="shared" si="8"/>
        <v>890</v>
      </c>
      <c r="D57" s="77"/>
      <c r="E57" s="77"/>
      <c r="F57" s="77"/>
      <c r="G57" s="389"/>
      <c r="H57" s="77"/>
      <c r="I57" s="77"/>
      <c r="J57" s="77">
        <v>890</v>
      </c>
      <c r="K57" s="77"/>
      <c r="L57" s="77"/>
      <c r="M57" s="77"/>
      <c r="N57" s="557">
        <v>967.8</v>
      </c>
      <c r="O57" s="558">
        <f t="shared" si="11"/>
        <v>861.342</v>
      </c>
      <c r="P57" s="464"/>
      <c r="R57" s="109"/>
    </row>
    <row r="58" spans="1:18" ht="18" customHeight="1">
      <c r="A58" s="81" t="s">
        <v>323</v>
      </c>
      <c r="B58" s="85" t="s">
        <v>341</v>
      </c>
      <c r="C58" s="80">
        <f t="shared" si="8"/>
        <v>890</v>
      </c>
      <c r="D58" s="77"/>
      <c r="E58" s="77"/>
      <c r="F58" s="77"/>
      <c r="G58" s="389"/>
      <c r="H58" s="77"/>
      <c r="I58" s="77"/>
      <c r="J58" s="77">
        <v>890</v>
      </c>
      <c r="K58" s="77"/>
      <c r="L58" s="77"/>
      <c r="M58" s="77"/>
      <c r="N58" s="557">
        <v>580</v>
      </c>
      <c r="O58" s="558">
        <f t="shared" si="11"/>
        <v>516.2</v>
      </c>
      <c r="P58" s="464"/>
      <c r="R58" s="109"/>
    </row>
    <row r="59" spans="1:18" ht="18" customHeight="1">
      <c r="A59" s="81" t="s">
        <v>324</v>
      </c>
      <c r="B59" s="85" t="s">
        <v>349</v>
      </c>
      <c r="C59" s="80">
        <f t="shared" si="8"/>
        <v>37</v>
      </c>
      <c r="D59" s="77"/>
      <c r="E59" s="77"/>
      <c r="F59" s="77"/>
      <c r="G59" s="389"/>
      <c r="H59" s="77"/>
      <c r="I59" s="77"/>
      <c r="J59" s="77">
        <v>37</v>
      </c>
      <c r="K59" s="77"/>
      <c r="L59" s="77"/>
      <c r="M59" s="77"/>
      <c r="N59" s="557">
        <v>359.1</v>
      </c>
      <c r="O59" s="558">
        <f t="shared" si="11"/>
        <v>13.286700000000002</v>
      </c>
      <c r="P59" s="464"/>
      <c r="R59" s="109"/>
    </row>
    <row r="60" spans="1:18" ht="18" customHeight="1">
      <c r="A60" s="81" t="s">
        <v>325</v>
      </c>
      <c r="B60" s="85" t="s">
        <v>342</v>
      </c>
      <c r="C60" s="80">
        <f t="shared" si="8"/>
        <v>37</v>
      </c>
      <c r="D60" s="77"/>
      <c r="E60" s="77"/>
      <c r="F60" s="77"/>
      <c r="G60" s="389"/>
      <c r="H60" s="77"/>
      <c r="I60" s="77"/>
      <c r="J60" s="77">
        <v>37</v>
      </c>
      <c r="K60" s="77"/>
      <c r="L60" s="77"/>
      <c r="M60" s="77"/>
      <c r="N60" s="557">
        <v>360.1</v>
      </c>
      <c r="O60" s="558">
        <f t="shared" si="11"/>
        <v>13.3237</v>
      </c>
      <c r="P60" s="464"/>
      <c r="R60" s="109"/>
    </row>
    <row r="61" spans="1:18" ht="28.5" customHeight="1">
      <c r="A61" s="81" t="s">
        <v>326</v>
      </c>
      <c r="B61" s="85" t="s">
        <v>343</v>
      </c>
      <c r="C61" s="80">
        <f t="shared" si="8"/>
        <v>49</v>
      </c>
      <c r="D61" s="77"/>
      <c r="E61" s="77"/>
      <c r="F61" s="77"/>
      <c r="G61" s="389"/>
      <c r="H61" s="77"/>
      <c r="I61" s="77"/>
      <c r="J61" s="77">
        <v>49</v>
      </c>
      <c r="K61" s="77"/>
      <c r="L61" s="77"/>
      <c r="M61" s="77"/>
      <c r="N61" s="557">
        <v>361.9</v>
      </c>
      <c r="O61" s="558">
        <f t="shared" si="11"/>
        <v>17.7331</v>
      </c>
      <c r="P61" s="464"/>
      <c r="R61" s="109"/>
    </row>
    <row r="62" spans="1:18" ht="24.75" customHeight="1">
      <c r="A62" s="81" t="s">
        <v>327</v>
      </c>
      <c r="B62" s="85" t="s">
        <v>344</v>
      </c>
      <c r="C62" s="80">
        <f t="shared" si="8"/>
        <v>49</v>
      </c>
      <c r="D62" s="77"/>
      <c r="E62" s="77"/>
      <c r="F62" s="77"/>
      <c r="G62" s="389"/>
      <c r="H62" s="77"/>
      <c r="I62" s="77"/>
      <c r="J62" s="77">
        <v>49</v>
      </c>
      <c r="K62" s="77"/>
      <c r="L62" s="77"/>
      <c r="M62" s="77"/>
      <c r="N62" s="557">
        <v>361.9</v>
      </c>
      <c r="O62" s="558">
        <f t="shared" si="11"/>
        <v>17.7331</v>
      </c>
      <c r="P62" s="464"/>
      <c r="R62" s="109"/>
    </row>
    <row r="63" spans="1:18" ht="16.5" customHeight="1">
      <c r="A63" s="81" t="s">
        <v>328</v>
      </c>
      <c r="B63" s="85" t="s">
        <v>345</v>
      </c>
      <c r="C63" s="80">
        <f t="shared" si="8"/>
        <v>11</v>
      </c>
      <c r="D63" s="77"/>
      <c r="E63" s="77"/>
      <c r="F63" s="77"/>
      <c r="G63" s="389"/>
      <c r="H63" s="77"/>
      <c r="I63" s="77"/>
      <c r="J63" s="77">
        <v>11</v>
      </c>
      <c r="K63" s="77"/>
      <c r="L63" s="77"/>
      <c r="M63" s="77"/>
      <c r="N63" s="557">
        <v>300</v>
      </c>
      <c r="O63" s="558">
        <f t="shared" si="11"/>
        <v>3.3</v>
      </c>
      <c r="P63" s="464"/>
      <c r="R63" s="109"/>
    </row>
    <row r="64" spans="1:18" ht="27.75" customHeight="1">
      <c r="A64" s="81" t="s">
        <v>329</v>
      </c>
      <c r="B64" s="85" t="s">
        <v>346</v>
      </c>
      <c r="C64" s="80">
        <f t="shared" si="8"/>
        <v>0</v>
      </c>
      <c r="D64" s="77"/>
      <c r="E64" s="77"/>
      <c r="F64" s="77"/>
      <c r="G64" s="389"/>
      <c r="H64" s="77"/>
      <c r="I64" s="77"/>
      <c r="J64" s="465" t="s">
        <v>469</v>
      </c>
      <c r="K64" s="465"/>
      <c r="L64" s="465"/>
      <c r="M64" s="77"/>
      <c r="N64" s="557">
        <v>1600</v>
      </c>
      <c r="O64" s="558"/>
      <c r="R64" s="109"/>
    </row>
    <row r="65" spans="1:18" ht="24" customHeight="1">
      <c r="A65" s="81" t="s">
        <v>330</v>
      </c>
      <c r="B65" s="85" t="s">
        <v>347</v>
      </c>
      <c r="C65" s="80">
        <f t="shared" si="8"/>
        <v>0</v>
      </c>
      <c r="D65" s="77"/>
      <c r="E65" s="77"/>
      <c r="F65" s="77"/>
      <c r="G65" s="389"/>
      <c r="H65" s="77"/>
      <c r="I65" s="77"/>
      <c r="J65" s="465" t="s">
        <v>469</v>
      </c>
      <c r="K65" s="465"/>
      <c r="L65" s="465"/>
      <c r="M65" s="77"/>
      <c r="N65" s="557">
        <v>520</v>
      </c>
      <c r="O65" s="558"/>
      <c r="R65" s="109"/>
    </row>
    <row r="66" spans="1:18" ht="21" customHeight="1">
      <c r="A66" s="81" t="s">
        <v>331</v>
      </c>
      <c r="B66" s="85" t="s">
        <v>348</v>
      </c>
      <c r="C66" s="80">
        <f t="shared" si="8"/>
        <v>0</v>
      </c>
      <c r="D66" s="77"/>
      <c r="E66" s="77"/>
      <c r="F66" s="77"/>
      <c r="G66" s="389"/>
      <c r="H66" s="77"/>
      <c r="I66" s="77"/>
      <c r="J66" s="465" t="s">
        <v>469</v>
      </c>
      <c r="K66" s="465"/>
      <c r="L66" s="465"/>
      <c r="M66" s="77"/>
      <c r="N66" s="557">
        <v>1050</v>
      </c>
      <c r="O66" s="558"/>
      <c r="R66" s="109"/>
    </row>
    <row r="67" spans="1:18" ht="19.5" customHeight="1">
      <c r="A67" s="94">
        <v>9</v>
      </c>
      <c r="B67" s="311" t="s">
        <v>466</v>
      </c>
      <c r="C67" s="100">
        <f t="shared" si="8"/>
        <v>3220</v>
      </c>
      <c r="D67" s="100">
        <f>D68+D69</f>
        <v>3220</v>
      </c>
      <c r="E67" s="100">
        <f>E68+E69</f>
        <v>0</v>
      </c>
      <c r="F67" s="100">
        <f>F68+F69</f>
        <v>0</v>
      </c>
      <c r="G67" s="100">
        <f>G68+G69</f>
        <v>0</v>
      </c>
      <c r="H67" s="100">
        <f aca="true" t="shared" si="12" ref="H67:M67">H68+H69</f>
        <v>0</v>
      </c>
      <c r="I67" s="100">
        <f t="shared" si="12"/>
        <v>0</v>
      </c>
      <c r="J67" s="100">
        <f t="shared" si="12"/>
        <v>0</v>
      </c>
      <c r="K67" s="100">
        <f t="shared" si="12"/>
        <v>0</v>
      </c>
      <c r="L67" s="100"/>
      <c r="M67" s="100">
        <f t="shared" si="12"/>
        <v>0</v>
      </c>
      <c r="R67" s="109"/>
    </row>
    <row r="68" spans="1:18" ht="17.25" customHeight="1">
      <c r="A68" s="81" t="s">
        <v>190</v>
      </c>
      <c r="B68" s="561" t="s">
        <v>127</v>
      </c>
      <c r="C68" s="562">
        <f t="shared" si="8"/>
        <v>730</v>
      </c>
      <c r="D68" s="543">
        <v>730</v>
      </c>
      <c r="E68" s="77">
        <v>0</v>
      </c>
      <c r="F68" s="77">
        <v>0</v>
      </c>
      <c r="G68" s="389">
        <v>0</v>
      </c>
      <c r="H68" s="77">
        <v>0</v>
      </c>
      <c r="I68" s="77">
        <v>0</v>
      </c>
      <c r="J68" s="77">
        <v>0</v>
      </c>
      <c r="K68" s="77"/>
      <c r="L68" s="77"/>
      <c r="M68" s="77">
        <v>0</v>
      </c>
      <c r="N68" s="72">
        <v>1114.5</v>
      </c>
      <c r="O68" s="464">
        <f>N68*C68/1000</f>
        <v>813.585</v>
      </c>
      <c r="R68" s="109"/>
    </row>
    <row r="69" spans="1:18" ht="17.25" customHeight="1">
      <c r="A69" s="81" t="s">
        <v>191</v>
      </c>
      <c r="B69" s="561" t="s">
        <v>128</v>
      </c>
      <c r="C69" s="562">
        <f t="shared" si="8"/>
        <v>2490</v>
      </c>
      <c r="D69" s="543">
        <v>2490</v>
      </c>
      <c r="E69" s="77">
        <v>0</v>
      </c>
      <c r="F69" s="77">
        <v>0</v>
      </c>
      <c r="G69" s="389">
        <v>0</v>
      </c>
      <c r="H69" s="77">
        <v>0</v>
      </c>
      <c r="I69" s="77">
        <v>0</v>
      </c>
      <c r="J69" s="77">
        <v>0</v>
      </c>
      <c r="K69" s="77"/>
      <c r="L69" s="77"/>
      <c r="M69" s="77">
        <v>0</v>
      </c>
      <c r="N69" s="72">
        <v>1942.9</v>
      </c>
      <c r="O69" s="464">
        <f>N69*C69/1000</f>
        <v>4837.821</v>
      </c>
      <c r="R69" s="109"/>
    </row>
    <row r="70" spans="1:13" ht="15.75">
      <c r="A70" s="104">
        <v>10</v>
      </c>
      <c r="B70" s="311" t="s">
        <v>467</v>
      </c>
      <c r="C70" s="95">
        <f t="shared" si="8"/>
        <v>1400</v>
      </c>
      <c r="D70" s="95">
        <f aca="true" t="shared" si="13" ref="D70:M70">D71+D72</f>
        <v>0</v>
      </c>
      <c r="E70" s="95">
        <f t="shared" si="13"/>
        <v>0</v>
      </c>
      <c r="F70" s="95">
        <f t="shared" si="13"/>
        <v>0</v>
      </c>
      <c r="G70" s="95">
        <f t="shared" si="13"/>
        <v>1200</v>
      </c>
      <c r="H70" s="95">
        <f t="shared" si="13"/>
        <v>0</v>
      </c>
      <c r="I70" s="95">
        <f t="shared" si="13"/>
        <v>0</v>
      </c>
      <c r="J70" s="95">
        <f t="shared" si="13"/>
        <v>0</v>
      </c>
      <c r="K70" s="95">
        <f t="shared" si="13"/>
        <v>200</v>
      </c>
      <c r="L70" s="95"/>
      <c r="M70" s="95">
        <f t="shared" si="13"/>
        <v>0</v>
      </c>
    </row>
    <row r="71" spans="1:15" ht="15.75">
      <c r="A71" s="81" t="s">
        <v>350</v>
      </c>
      <c r="B71" s="85" t="s">
        <v>352</v>
      </c>
      <c r="C71" s="80">
        <f t="shared" si="8"/>
        <v>1200</v>
      </c>
      <c r="D71" s="82">
        <v>0</v>
      </c>
      <c r="E71" s="82">
        <v>0</v>
      </c>
      <c r="F71" s="82">
        <v>0</v>
      </c>
      <c r="G71" s="82">
        <v>1200</v>
      </c>
      <c r="H71" s="82">
        <v>0</v>
      </c>
      <c r="I71" s="82">
        <v>0</v>
      </c>
      <c r="J71" s="82">
        <v>0</v>
      </c>
      <c r="K71" s="82"/>
      <c r="L71" s="82"/>
      <c r="M71" s="82">
        <v>0</v>
      </c>
      <c r="N71" s="72">
        <v>2369.9</v>
      </c>
      <c r="O71" s="72">
        <f>N71*G71/1000</f>
        <v>2843.88</v>
      </c>
    </row>
    <row r="72" spans="1:15" ht="20.25" customHeight="1">
      <c r="A72" s="81" t="s">
        <v>351</v>
      </c>
      <c r="B72" s="85" t="s">
        <v>332</v>
      </c>
      <c r="C72" s="80">
        <f t="shared" si="8"/>
        <v>200</v>
      </c>
      <c r="D72" s="77"/>
      <c r="E72" s="77">
        <v>0</v>
      </c>
      <c r="F72" s="77">
        <v>0</v>
      </c>
      <c r="G72" s="389">
        <v>0</v>
      </c>
      <c r="H72" s="77">
        <v>0</v>
      </c>
      <c r="I72" s="77">
        <v>0</v>
      </c>
      <c r="J72" s="77">
        <v>0</v>
      </c>
      <c r="K72" s="77">
        <v>200</v>
      </c>
      <c r="L72" s="77"/>
      <c r="M72" s="77">
        <v>0</v>
      </c>
      <c r="N72" s="72">
        <v>1843.6</v>
      </c>
      <c r="O72" s="72">
        <f>N72*K72/1000</f>
        <v>368.72</v>
      </c>
    </row>
    <row r="73" ht="15">
      <c r="C73" s="360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937007874015748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36"/>
  <sheetViews>
    <sheetView view="pageBreakPreview" zoomScale="80" zoomScaleSheetLayoutView="80" zoomScalePageLayoutView="0" workbookViewId="0" topLeftCell="A1">
      <pane xSplit="3" ySplit="7" topLeftCell="D5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1" sqref="D81"/>
    </sheetView>
  </sheetViews>
  <sheetFormatPr defaultColWidth="9.140625" defaultRowHeight="12.75"/>
  <cols>
    <col min="1" max="2" width="9.421875" style="126" customWidth="1"/>
    <col min="3" max="3" width="89.7109375" style="126" customWidth="1"/>
    <col min="4" max="4" width="18.8515625" style="126" customWidth="1"/>
    <col min="5" max="6" width="9.140625" style="126" customWidth="1"/>
    <col min="7" max="7" width="11.7109375" style="126" customWidth="1"/>
    <col min="8" max="16384" width="9.140625" style="126" customWidth="1"/>
  </cols>
  <sheetData>
    <row r="1" ht="15.75">
      <c r="D1" s="428" t="s">
        <v>299</v>
      </c>
    </row>
    <row r="3" spans="1:4" s="124" customFormat="1" ht="13.5" customHeight="1">
      <c r="A3" s="476"/>
      <c r="B3" s="125"/>
      <c r="C3" s="125"/>
      <c r="D3" s="125"/>
    </row>
    <row r="4" spans="2:4" s="124" customFormat="1" ht="31.5" customHeight="1">
      <c r="B4" s="626" t="s">
        <v>301</v>
      </c>
      <c r="C4" s="626"/>
      <c r="D4" s="626"/>
    </row>
    <row r="5" ht="15.75" thickBot="1"/>
    <row r="6" spans="1:4" ht="48.75" customHeight="1" thickBot="1" thickTop="1">
      <c r="A6" s="122" t="s">
        <v>356</v>
      </c>
      <c r="B6" s="122" t="s">
        <v>172</v>
      </c>
      <c r="C6" s="123" t="s">
        <v>86</v>
      </c>
      <c r="D6" s="119" t="s">
        <v>173</v>
      </c>
    </row>
    <row r="7" spans="1:4" ht="21.75" customHeight="1" thickBot="1" thickTop="1">
      <c r="A7" s="619" t="s">
        <v>252</v>
      </c>
      <c r="B7" s="619"/>
      <c r="C7" s="619"/>
      <c r="D7" s="619"/>
    </row>
    <row r="8" spans="1:4" ht="15.75" customHeight="1" thickTop="1">
      <c r="A8" s="13">
        <v>6</v>
      </c>
      <c r="B8" s="13"/>
      <c r="C8" s="14" t="s">
        <v>231</v>
      </c>
      <c r="D8" s="355">
        <v>380</v>
      </c>
    </row>
    <row r="9" spans="1:4" ht="15.75" customHeight="1">
      <c r="A9" s="13">
        <v>5</v>
      </c>
      <c r="B9" s="13"/>
      <c r="C9" s="14" t="s">
        <v>230</v>
      </c>
      <c r="D9" s="355">
        <v>114</v>
      </c>
    </row>
    <row r="10" spans="1:4" ht="15.75" customHeight="1">
      <c r="A10" s="13">
        <v>4</v>
      </c>
      <c r="B10" s="13"/>
      <c r="C10" s="14" t="s">
        <v>229</v>
      </c>
      <c r="D10" s="355">
        <v>72</v>
      </c>
    </row>
    <row r="11" spans="1:4" ht="15.75">
      <c r="A11" s="13">
        <v>14</v>
      </c>
      <c r="B11" s="13"/>
      <c r="C11" s="14" t="s">
        <v>15</v>
      </c>
      <c r="D11" s="355">
        <v>369</v>
      </c>
    </row>
    <row r="12" spans="1:15" ht="15.75">
      <c r="A12" s="13">
        <v>15</v>
      </c>
      <c r="B12" s="13"/>
      <c r="C12" s="14" t="s">
        <v>16</v>
      </c>
      <c r="D12" s="355">
        <v>186</v>
      </c>
      <c r="O12" s="126" t="s">
        <v>59</v>
      </c>
    </row>
    <row r="13" spans="1:4" ht="15.75">
      <c r="A13" s="13">
        <v>16</v>
      </c>
      <c r="B13" s="13"/>
      <c r="C13" s="14" t="s">
        <v>85</v>
      </c>
      <c r="D13" s="355">
        <v>39</v>
      </c>
    </row>
    <row r="14" spans="1:4" ht="15.75">
      <c r="A14" s="13">
        <v>17</v>
      </c>
      <c r="B14" s="13"/>
      <c r="C14" s="14" t="s">
        <v>50</v>
      </c>
      <c r="D14" s="355">
        <v>262</v>
      </c>
    </row>
    <row r="15" spans="1:4" ht="15.75">
      <c r="A15" s="13">
        <v>17</v>
      </c>
      <c r="B15" s="13"/>
      <c r="C15" s="14" t="s">
        <v>53</v>
      </c>
      <c r="D15" s="355">
        <v>44</v>
      </c>
    </row>
    <row r="16" spans="1:5" ht="15.75">
      <c r="A16" s="15">
        <v>24</v>
      </c>
      <c r="B16" s="15"/>
      <c r="C16" s="16" t="s">
        <v>23</v>
      </c>
      <c r="D16" s="357">
        <v>1092</v>
      </c>
      <c r="E16" s="129"/>
    </row>
    <row r="17" spans="1:5" ht="15.75">
      <c r="A17" s="15">
        <v>24</v>
      </c>
      <c r="B17" s="15"/>
      <c r="C17" s="16" t="s">
        <v>25</v>
      </c>
      <c r="D17" s="357">
        <v>315</v>
      </c>
      <c r="E17" s="129"/>
    </row>
    <row r="18" spans="1:4" ht="15.75">
      <c r="A18" s="15">
        <v>26</v>
      </c>
      <c r="B18" s="15"/>
      <c r="C18" s="16" t="s">
        <v>17</v>
      </c>
      <c r="D18" s="357">
        <f>642+270</f>
        <v>912</v>
      </c>
    </row>
    <row r="19" spans="1:4" ht="15.75">
      <c r="A19" s="15">
        <v>26</v>
      </c>
      <c r="B19" s="69"/>
      <c r="C19" s="447" t="s">
        <v>312</v>
      </c>
      <c r="D19" s="357"/>
    </row>
    <row r="20" spans="1:4" ht="60">
      <c r="A20" s="59">
        <f>A18</f>
        <v>26</v>
      </c>
      <c r="B20" s="59">
        <v>37</v>
      </c>
      <c r="C20" s="161" t="s">
        <v>360</v>
      </c>
      <c r="D20" s="486">
        <v>55</v>
      </c>
    </row>
    <row r="21" spans="1:4" s="162" customFormat="1" ht="64.5" customHeight="1">
      <c r="A21" s="59">
        <f>A18</f>
        <v>26</v>
      </c>
      <c r="B21" s="59">
        <v>38</v>
      </c>
      <c r="C21" s="161" t="s">
        <v>369</v>
      </c>
      <c r="D21" s="486">
        <v>40</v>
      </c>
    </row>
    <row r="22" spans="1:4" s="162" customFormat="1" ht="58.5" customHeight="1">
      <c r="A22" s="59">
        <f>A18</f>
        <v>26</v>
      </c>
      <c r="B22" s="59">
        <v>39</v>
      </c>
      <c r="C22" s="161" t="s">
        <v>368</v>
      </c>
      <c r="D22" s="486">
        <v>20</v>
      </c>
    </row>
    <row r="23" spans="1:4" s="162" customFormat="1" ht="62.25" customHeight="1">
      <c r="A23" s="59">
        <f>A18</f>
        <v>26</v>
      </c>
      <c r="B23" s="59">
        <v>40</v>
      </c>
      <c r="C23" s="161" t="s">
        <v>367</v>
      </c>
      <c r="D23" s="486">
        <v>20</v>
      </c>
    </row>
    <row r="24" spans="1:4" s="162" customFormat="1" ht="65.25" customHeight="1">
      <c r="A24" s="59">
        <f>A18</f>
        <v>26</v>
      </c>
      <c r="B24" s="59">
        <v>41</v>
      </c>
      <c r="C24" s="161" t="s">
        <v>366</v>
      </c>
      <c r="D24" s="486">
        <v>15</v>
      </c>
    </row>
    <row r="25" spans="1:4" s="162" customFormat="1" ht="61.5" customHeight="1">
      <c r="A25" s="59">
        <f>A24</f>
        <v>26</v>
      </c>
      <c r="B25" s="59">
        <v>42</v>
      </c>
      <c r="C25" s="161" t="s">
        <v>365</v>
      </c>
      <c r="D25" s="486">
        <v>5</v>
      </c>
    </row>
    <row r="26" spans="1:4" s="162" customFormat="1" ht="47.25" customHeight="1">
      <c r="A26" s="59">
        <f>A24</f>
        <v>26</v>
      </c>
      <c r="B26" s="59">
        <v>43</v>
      </c>
      <c r="C26" s="161" t="s">
        <v>364</v>
      </c>
      <c r="D26" s="486">
        <v>35</v>
      </c>
    </row>
    <row r="27" spans="1:4" s="162" customFormat="1" ht="48" customHeight="1">
      <c r="A27" s="59">
        <f>A26</f>
        <v>26</v>
      </c>
      <c r="B27" s="59">
        <v>44</v>
      </c>
      <c r="C27" s="161" t="s">
        <v>363</v>
      </c>
      <c r="D27" s="486">
        <v>25</v>
      </c>
    </row>
    <row r="28" spans="1:4" s="162" customFormat="1" ht="44.25" customHeight="1">
      <c r="A28" s="59">
        <f>A26</f>
        <v>26</v>
      </c>
      <c r="B28" s="59">
        <v>45</v>
      </c>
      <c r="C28" s="161" t="s">
        <v>362</v>
      </c>
      <c r="D28" s="486">
        <v>15</v>
      </c>
    </row>
    <row r="29" spans="1:4" s="162" customFormat="1" ht="46.5" customHeight="1">
      <c r="A29" s="59">
        <v>26</v>
      </c>
      <c r="B29" s="59">
        <v>49</v>
      </c>
      <c r="C29" s="161" t="s">
        <v>361</v>
      </c>
      <c r="D29" s="486">
        <v>7</v>
      </c>
    </row>
    <row r="30" spans="1:4" s="162" customFormat="1" ht="31.5" customHeight="1">
      <c r="A30" s="59">
        <f>A28</f>
        <v>26</v>
      </c>
      <c r="B30" s="59">
        <v>51</v>
      </c>
      <c r="C30" s="161" t="s">
        <v>471</v>
      </c>
      <c r="D30" s="486">
        <v>33</v>
      </c>
    </row>
    <row r="31" spans="1:4" ht="15.75">
      <c r="A31" s="13">
        <v>30</v>
      </c>
      <c r="B31" s="13"/>
      <c r="C31" s="14" t="s">
        <v>375</v>
      </c>
      <c r="D31" s="355">
        <v>142</v>
      </c>
    </row>
    <row r="32" spans="1:4" ht="31.5">
      <c r="A32" s="13">
        <v>32</v>
      </c>
      <c r="B32" s="13"/>
      <c r="C32" s="14" t="s">
        <v>376</v>
      </c>
      <c r="D32" s="355">
        <v>237</v>
      </c>
    </row>
    <row r="33" spans="1:4" ht="15.75">
      <c r="A33" s="13">
        <v>31</v>
      </c>
      <c r="B33" s="13"/>
      <c r="C33" s="14" t="s">
        <v>377</v>
      </c>
      <c r="D33" s="355">
        <v>142</v>
      </c>
    </row>
    <row r="34" spans="1:5" ht="15.75">
      <c r="A34" s="13">
        <v>34</v>
      </c>
      <c r="B34" s="13"/>
      <c r="C34" s="14" t="s">
        <v>26</v>
      </c>
      <c r="D34" s="355">
        <f>373+373</f>
        <v>746</v>
      </c>
      <c r="E34" s="129"/>
    </row>
    <row r="35" spans="1:5" ht="15.75">
      <c r="A35" s="13">
        <v>38</v>
      </c>
      <c r="B35" s="13"/>
      <c r="C35" s="14" t="s">
        <v>37</v>
      </c>
      <c r="D35" s="355">
        <f>302+28</f>
        <v>330</v>
      </c>
      <c r="E35" s="129"/>
    </row>
    <row r="36" spans="1:7" ht="15.75">
      <c r="A36" s="13">
        <v>41</v>
      </c>
      <c r="B36" s="13"/>
      <c r="C36" s="14" t="s">
        <v>18</v>
      </c>
      <c r="D36" s="355">
        <v>394</v>
      </c>
      <c r="G36" s="67"/>
    </row>
    <row r="37" spans="1:7" ht="15.75">
      <c r="A37" s="13">
        <v>42</v>
      </c>
      <c r="B37" s="13"/>
      <c r="C37" s="14" t="s">
        <v>82</v>
      </c>
      <c r="D37" s="355">
        <v>478</v>
      </c>
      <c r="E37" s="301"/>
      <c r="G37" s="67"/>
    </row>
    <row r="38" spans="1:7" ht="15.75">
      <c r="A38" s="13">
        <v>42</v>
      </c>
      <c r="B38" s="13"/>
      <c r="C38" s="14" t="s">
        <v>83</v>
      </c>
      <c r="D38" s="355">
        <v>422</v>
      </c>
      <c r="E38" s="301"/>
      <c r="G38" s="67"/>
    </row>
    <row r="39" spans="1:7" ht="15.75">
      <c r="A39" s="13">
        <v>64</v>
      </c>
      <c r="B39" s="13"/>
      <c r="C39" s="14" t="s">
        <v>313</v>
      </c>
      <c r="D39" s="355">
        <v>204</v>
      </c>
      <c r="G39" s="67"/>
    </row>
    <row r="40" spans="1:4" ht="15.75">
      <c r="A40" s="13">
        <v>50</v>
      </c>
      <c r="B40" s="13"/>
      <c r="C40" s="14" t="s">
        <v>357</v>
      </c>
      <c r="D40" s="355">
        <v>376</v>
      </c>
    </row>
    <row r="41" spans="1:4" ht="15.75">
      <c r="A41" s="13">
        <v>52</v>
      </c>
      <c r="B41" s="13"/>
      <c r="C41" s="14" t="s">
        <v>19</v>
      </c>
      <c r="D41" s="355">
        <v>445</v>
      </c>
    </row>
    <row r="42" spans="1:4" ht="15.75">
      <c r="A42" s="13">
        <v>55</v>
      </c>
      <c r="B42" s="13"/>
      <c r="C42" s="14" t="s">
        <v>24</v>
      </c>
      <c r="D42" s="355">
        <v>513</v>
      </c>
    </row>
    <row r="43" spans="1:4" ht="15.75">
      <c r="A43" s="13">
        <v>63</v>
      </c>
      <c r="B43" s="13"/>
      <c r="C43" s="14" t="s">
        <v>20</v>
      </c>
      <c r="D43" s="355">
        <v>512</v>
      </c>
    </row>
    <row r="44" spans="1:4" ht="15.75">
      <c r="A44" s="13">
        <v>65</v>
      </c>
      <c r="B44" s="13"/>
      <c r="C44" s="14" t="s">
        <v>52</v>
      </c>
      <c r="D44" s="355">
        <v>15</v>
      </c>
    </row>
    <row r="45" spans="1:4" ht="15.75">
      <c r="A45" s="13">
        <v>67</v>
      </c>
      <c r="B45" s="13"/>
      <c r="C45" s="14" t="s">
        <v>27</v>
      </c>
      <c r="D45" s="355">
        <v>266</v>
      </c>
    </row>
    <row r="46" spans="1:4" ht="15.75">
      <c r="A46" s="13">
        <v>71</v>
      </c>
      <c r="B46" s="13"/>
      <c r="C46" s="14" t="s">
        <v>21</v>
      </c>
      <c r="D46" s="355">
        <v>1536</v>
      </c>
    </row>
    <row r="47" spans="1:5" ht="18" customHeight="1">
      <c r="A47" s="13">
        <v>74</v>
      </c>
      <c r="B47" s="8"/>
      <c r="C47" s="17" t="s">
        <v>87</v>
      </c>
      <c r="D47" s="355">
        <f>375</f>
        <v>375</v>
      </c>
      <c r="E47" s="129"/>
    </row>
    <row r="48" spans="1:7" ht="15.75">
      <c r="A48" s="8">
        <v>74</v>
      </c>
      <c r="B48" s="448"/>
      <c r="C48" s="447" t="s">
        <v>312</v>
      </c>
      <c r="D48" s="487"/>
      <c r="F48" s="313"/>
      <c r="G48" s="313"/>
    </row>
    <row r="49" spans="1:7" s="162" customFormat="1" ht="47.25" customHeight="1">
      <c r="A49" s="620">
        <f>A47</f>
        <v>74</v>
      </c>
      <c r="B49" s="620">
        <v>56</v>
      </c>
      <c r="C49" s="161" t="s">
        <v>370</v>
      </c>
      <c r="D49" s="623">
        <v>100</v>
      </c>
      <c r="F49" s="449"/>
      <c r="G49" s="449"/>
    </row>
    <row r="50" spans="1:7" s="162" customFormat="1" ht="61.5" customHeight="1">
      <c r="A50" s="621"/>
      <c r="B50" s="621"/>
      <c r="C50" s="161" t="s">
        <v>314</v>
      </c>
      <c r="D50" s="624"/>
      <c r="F50" s="449"/>
      <c r="G50" s="449"/>
    </row>
    <row r="51" spans="1:7" s="162" customFormat="1" ht="46.5" customHeight="1">
      <c r="A51" s="622"/>
      <c r="B51" s="622"/>
      <c r="C51" s="161" t="s">
        <v>315</v>
      </c>
      <c r="D51" s="625"/>
      <c r="F51" s="449"/>
      <c r="G51" s="449"/>
    </row>
    <row r="52" spans="1:7" s="162" customFormat="1" ht="63.75" customHeight="1">
      <c r="A52" s="450">
        <v>74</v>
      </c>
      <c r="B52" s="450">
        <v>59</v>
      </c>
      <c r="C52" s="161" t="s">
        <v>316</v>
      </c>
      <c r="D52" s="488">
        <v>90</v>
      </c>
      <c r="F52" s="449"/>
      <c r="G52" s="449"/>
    </row>
    <row r="53" spans="1:7" ht="15.75">
      <c r="A53" s="13">
        <f>A47</f>
        <v>74</v>
      </c>
      <c r="B53" s="13"/>
      <c r="C53" s="14" t="s">
        <v>317</v>
      </c>
      <c r="D53" s="355">
        <f>647</f>
        <v>647</v>
      </c>
      <c r="F53" s="313"/>
      <c r="G53" s="313"/>
    </row>
    <row r="54" spans="1:7" ht="15.75">
      <c r="A54" s="13">
        <v>77</v>
      </c>
      <c r="B54" s="13"/>
      <c r="C54" s="18" t="s">
        <v>49</v>
      </c>
      <c r="D54" s="489">
        <v>586</v>
      </c>
      <c r="F54" s="313"/>
      <c r="G54" s="313"/>
    </row>
    <row r="55" spans="1:7" ht="15.75">
      <c r="A55" s="19">
        <v>80</v>
      </c>
      <c r="B55" s="19"/>
      <c r="C55" s="18" t="s">
        <v>29</v>
      </c>
      <c r="D55" s="355">
        <v>2225</v>
      </c>
      <c r="E55" s="129"/>
      <c r="F55" s="313"/>
      <c r="G55" s="313"/>
    </row>
    <row r="56" spans="1:7" ht="15.75">
      <c r="A56" s="8">
        <v>82</v>
      </c>
      <c r="B56" s="19"/>
      <c r="C56" s="18" t="s">
        <v>69</v>
      </c>
      <c r="D56" s="355">
        <v>40</v>
      </c>
      <c r="F56" s="313"/>
      <c r="G56" s="313"/>
    </row>
    <row r="57" spans="1:7" ht="15.75">
      <c r="A57" s="15">
        <v>84</v>
      </c>
      <c r="B57" s="15"/>
      <c r="C57" s="16" t="s">
        <v>39</v>
      </c>
      <c r="D57" s="357">
        <v>100</v>
      </c>
      <c r="F57" s="313"/>
      <c r="G57" s="313"/>
    </row>
    <row r="58" spans="1:7" ht="16.5" thickBot="1">
      <c r="A58" s="20">
        <v>85</v>
      </c>
      <c r="B58" s="20"/>
      <c r="C58" s="17" t="s">
        <v>22</v>
      </c>
      <c r="D58" s="490">
        <v>230</v>
      </c>
      <c r="F58" s="313"/>
      <c r="G58" s="313"/>
    </row>
    <row r="59" spans="1:11" ht="16.5" thickTop="1">
      <c r="A59" s="21"/>
      <c r="B59" s="21"/>
      <c r="C59" s="22" t="s">
        <v>174</v>
      </c>
      <c r="D59" s="130">
        <f>SUM(D53:D58)+SUM(D31:D47)+SUM(D8:D18)</f>
        <v>14746</v>
      </c>
      <c r="E59" s="131">
        <v>14746</v>
      </c>
      <c r="F59" s="132">
        <f>E59-D59</f>
        <v>0</v>
      </c>
      <c r="G59" s="132"/>
      <c r="H59" s="132"/>
      <c r="I59" s="133"/>
      <c r="J59" s="133"/>
      <c r="K59" s="133"/>
    </row>
    <row r="60" spans="1:11" ht="15.75">
      <c r="A60" s="451">
        <f>A37</f>
        <v>42</v>
      </c>
      <c r="B60" s="451"/>
      <c r="C60" s="452" t="s">
        <v>171</v>
      </c>
      <c r="D60" s="151">
        <f>D37+D38+D39</f>
        <v>1104</v>
      </c>
      <c r="E60" s="131"/>
      <c r="F60" s="132"/>
      <c r="G60" s="132"/>
      <c r="H60" s="132"/>
      <c r="I60" s="133"/>
      <c r="J60" s="133"/>
      <c r="K60" s="133"/>
    </row>
    <row r="61" spans="1:11" s="137" customFormat="1" ht="16.5" thickBot="1">
      <c r="A61" s="23"/>
      <c r="B61" s="23"/>
      <c r="C61" s="121" t="s">
        <v>170</v>
      </c>
      <c r="D61" s="134">
        <f>SUM(D49:D52)+SUM(D19:D30)</f>
        <v>460</v>
      </c>
      <c r="E61" s="126"/>
      <c r="F61" s="135"/>
      <c r="G61" s="135"/>
      <c r="H61" s="135"/>
      <c r="I61" s="136"/>
      <c r="J61" s="136"/>
      <c r="K61" s="136"/>
    </row>
    <row r="62" spans="2:11" ht="17.25" hidden="1" thickBot="1" thickTop="1">
      <c r="B62" s="618"/>
      <c r="C62" s="619"/>
      <c r="D62" s="619"/>
      <c r="F62" s="133"/>
      <c r="G62" s="133"/>
      <c r="H62" s="133"/>
      <c r="I62" s="133"/>
      <c r="J62" s="133"/>
      <c r="K62" s="133"/>
    </row>
    <row r="63" spans="1:11" ht="17.25" hidden="1" thickBot="1" thickTop="1">
      <c r="A63" s="24"/>
      <c r="B63" s="24"/>
      <c r="C63" s="25"/>
      <c r="D63" s="24"/>
      <c r="F63" s="133"/>
      <c r="G63" s="133"/>
      <c r="H63" s="133"/>
      <c r="I63" s="133"/>
      <c r="J63" s="133"/>
      <c r="K63" s="133"/>
    </row>
    <row r="64" spans="1:11" s="138" customFormat="1" ht="17.25" hidden="1" thickBot="1" thickTop="1">
      <c r="A64" s="69"/>
      <c r="B64" s="69"/>
      <c r="C64" s="93"/>
      <c r="D64" s="69"/>
      <c r="F64" s="133"/>
      <c r="G64" s="139"/>
      <c r="H64" s="139"/>
      <c r="I64" s="139"/>
      <c r="J64" s="139"/>
      <c r="K64" s="139"/>
    </row>
    <row r="65" spans="1:11" ht="20.25" customHeight="1" hidden="1">
      <c r="A65" s="15"/>
      <c r="B65" s="15"/>
      <c r="C65" s="16"/>
      <c r="D65" s="15"/>
      <c r="F65" s="133"/>
      <c r="G65" s="133"/>
      <c r="H65" s="133"/>
      <c r="I65" s="133"/>
      <c r="J65" s="133"/>
      <c r="K65" s="133"/>
    </row>
    <row r="66" spans="1:11" ht="17.25" hidden="1" thickBot="1" thickTop="1">
      <c r="A66" s="92"/>
      <c r="B66" s="92"/>
      <c r="C66" s="14"/>
      <c r="D66" s="13"/>
      <c r="F66" s="133"/>
      <c r="G66" s="133"/>
      <c r="H66" s="133"/>
      <c r="I66" s="133"/>
      <c r="J66" s="133"/>
      <c r="K66" s="133"/>
    </row>
    <row r="67" spans="1:11" ht="17.25" hidden="1" thickBot="1" thickTop="1">
      <c r="A67" s="21"/>
      <c r="B67" s="21"/>
      <c r="C67" s="22"/>
      <c r="D67" s="160"/>
      <c r="E67" s="131"/>
      <c r="F67" s="132"/>
      <c r="G67" s="132"/>
      <c r="H67" s="132"/>
      <c r="I67" s="133"/>
      <c r="J67" s="133"/>
      <c r="K67" s="133"/>
    </row>
    <row r="68" spans="1:11" ht="17.25" hidden="1" thickBot="1" thickTop="1">
      <c r="A68" s="157"/>
      <c r="B68" s="157"/>
      <c r="C68" s="158"/>
      <c r="D68" s="159"/>
      <c r="E68" s="131"/>
      <c r="F68" s="132"/>
      <c r="G68" s="132"/>
      <c r="H68" s="132"/>
      <c r="I68" s="133"/>
      <c r="J68" s="133"/>
      <c r="K68" s="133"/>
    </row>
    <row r="69" spans="1:11" ht="21.75" customHeight="1" thickBot="1" thickTop="1">
      <c r="A69" s="619" t="s">
        <v>248</v>
      </c>
      <c r="B69" s="619"/>
      <c r="C69" s="619"/>
      <c r="D69" s="619"/>
      <c r="F69" s="133"/>
      <c r="G69" s="133"/>
      <c r="H69" s="133"/>
      <c r="I69" s="133"/>
      <c r="J69" s="133"/>
      <c r="K69" s="133"/>
    </row>
    <row r="70" spans="1:7" ht="16.5" thickTop="1">
      <c r="A70" s="29">
        <v>22</v>
      </c>
      <c r="B70" s="29"/>
      <c r="C70" s="30" t="s">
        <v>34</v>
      </c>
      <c r="D70" s="141">
        <v>149</v>
      </c>
      <c r="F70" s="313"/>
      <c r="G70" s="313"/>
    </row>
    <row r="71" spans="1:7" ht="15.75">
      <c r="A71" s="29">
        <v>19</v>
      </c>
      <c r="B71" s="29"/>
      <c r="C71" s="30" t="s">
        <v>74</v>
      </c>
      <c r="D71" s="141">
        <v>50</v>
      </c>
      <c r="F71" s="313"/>
      <c r="G71" s="313"/>
    </row>
    <row r="72" spans="1:7" ht="15.75">
      <c r="A72" s="36">
        <v>21</v>
      </c>
      <c r="B72" s="36"/>
      <c r="C72" s="37" t="s">
        <v>232</v>
      </c>
      <c r="D72" s="193">
        <v>59</v>
      </c>
      <c r="F72" s="313"/>
      <c r="G72" s="313"/>
    </row>
    <row r="73" spans="1:7" ht="15.75">
      <c r="A73" s="36">
        <v>23</v>
      </c>
      <c r="B73" s="36"/>
      <c r="C73" s="37" t="s">
        <v>75</v>
      </c>
      <c r="D73" s="193">
        <v>23</v>
      </c>
      <c r="F73" s="313"/>
      <c r="G73" s="313"/>
    </row>
    <row r="74" spans="1:7" ht="15.75">
      <c r="A74" s="29">
        <v>24</v>
      </c>
      <c r="B74" s="29"/>
      <c r="C74" s="30" t="s">
        <v>28</v>
      </c>
      <c r="D74" s="141">
        <v>1050</v>
      </c>
      <c r="F74" s="313"/>
      <c r="G74" s="313"/>
    </row>
    <row r="75" spans="1:7" ht="15.75">
      <c r="A75" s="29">
        <v>30</v>
      </c>
      <c r="B75" s="29"/>
      <c r="C75" s="30" t="s">
        <v>72</v>
      </c>
      <c r="D75" s="141">
        <v>79</v>
      </c>
      <c r="F75" s="313"/>
      <c r="G75" s="313"/>
    </row>
    <row r="76" spans="1:7" ht="15.75">
      <c r="A76" s="29">
        <v>34</v>
      </c>
      <c r="B76" s="29"/>
      <c r="C76" s="30" t="s">
        <v>31</v>
      </c>
      <c r="D76" s="141">
        <v>180</v>
      </c>
      <c r="F76" s="313"/>
      <c r="G76" s="313"/>
    </row>
    <row r="77" spans="1:7" ht="15.75">
      <c r="A77" s="29">
        <v>38</v>
      </c>
      <c r="B77" s="29"/>
      <c r="C77" s="30" t="s">
        <v>37</v>
      </c>
      <c r="D77" s="141">
        <v>51</v>
      </c>
      <c r="F77" s="313"/>
      <c r="G77" s="313"/>
    </row>
    <row r="78" spans="1:7" ht="15.75">
      <c r="A78" s="29">
        <v>63</v>
      </c>
      <c r="B78" s="29"/>
      <c r="C78" s="30" t="s">
        <v>20</v>
      </c>
      <c r="D78" s="141">
        <v>24</v>
      </c>
      <c r="F78" s="313"/>
      <c r="G78" s="313"/>
    </row>
    <row r="79" spans="1:7" ht="15.75">
      <c r="A79" s="29">
        <v>39</v>
      </c>
      <c r="B79" s="29"/>
      <c r="C79" s="30" t="s">
        <v>30</v>
      </c>
      <c r="D79" s="141">
        <v>270</v>
      </c>
      <c r="F79" s="313"/>
      <c r="G79" s="313"/>
    </row>
    <row r="80" spans="1:7" ht="15.75">
      <c r="A80" s="29">
        <v>55</v>
      </c>
      <c r="B80" s="29"/>
      <c r="C80" s="30" t="s">
        <v>24</v>
      </c>
      <c r="D80" s="141">
        <v>615</v>
      </c>
      <c r="E80" s="129"/>
      <c r="F80" s="313"/>
      <c r="G80" s="313"/>
    </row>
    <row r="81" spans="1:7" ht="15.75">
      <c r="A81" s="29">
        <v>74</v>
      </c>
      <c r="B81" s="29"/>
      <c r="C81" s="30" t="s">
        <v>68</v>
      </c>
      <c r="D81" s="141">
        <v>110</v>
      </c>
      <c r="F81" s="313"/>
      <c r="G81" s="313"/>
    </row>
    <row r="82" spans="1:7" ht="16.5" thickBot="1">
      <c r="A82" s="29">
        <v>82</v>
      </c>
      <c r="B82" s="29"/>
      <c r="C82" s="30" t="s">
        <v>69</v>
      </c>
      <c r="D82" s="141">
        <v>20</v>
      </c>
      <c r="F82" s="313"/>
      <c r="G82" s="313"/>
    </row>
    <row r="83" spans="1:8" ht="17.25" thickBot="1" thickTop="1">
      <c r="A83" s="31"/>
      <c r="B83" s="31"/>
      <c r="C83" s="32" t="s">
        <v>7</v>
      </c>
      <c r="D83" s="142">
        <f>SUM(D70:D82)</f>
        <v>2680</v>
      </c>
      <c r="E83" s="131"/>
      <c r="F83" s="132"/>
      <c r="G83" s="132"/>
      <c r="H83" s="131"/>
    </row>
    <row r="84" spans="1:7" ht="17.25" customHeight="1" thickBot="1" thickTop="1">
      <c r="A84" s="619" t="s">
        <v>249</v>
      </c>
      <c r="B84" s="619"/>
      <c r="C84" s="619"/>
      <c r="D84" s="619"/>
      <c r="F84" s="313"/>
      <c r="G84" s="313"/>
    </row>
    <row r="85" spans="1:7" ht="16.5" thickTop="1">
      <c r="A85" s="33">
        <v>3</v>
      </c>
      <c r="B85" s="33"/>
      <c r="C85" s="34" t="s">
        <v>84</v>
      </c>
      <c r="D85" s="304">
        <v>104</v>
      </c>
      <c r="F85" s="313"/>
      <c r="G85" s="132"/>
    </row>
    <row r="86" spans="1:7" s="138" customFormat="1" ht="15.75">
      <c r="A86" s="35">
        <v>6</v>
      </c>
      <c r="B86" s="35"/>
      <c r="C86" s="30" t="s">
        <v>231</v>
      </c>
      <c r="D86" s="303">
        <v>1432</v>
      </c>
      <c r="E86" s="126">
        <f>D86+D88</f>
        <v>2286</v>
      </c>
      <c r="F86" s="314"/>
      <c r="G86" s="315"/>
    </row>
    <row r="87" spans="1:7" ht="15.75">
      <c r="A87" s="29">
        <v>4</v>
      </c>
      <c r="B87" s="29"/>
      <c r="C87" s="30" t="s">
        <v>229</v>
      </c>
      <c r="D87" s="303">
        <v>1104</v>
      </c>
      <c r="F87" s="313"/>
      <c r="G87" s="132"/>
    </row>
    <row r="88" spans="1:7" ht="15.75">
      <c r="A88" s="36">
        <v>5</v>
      </c>
      <c r="B88" s="36"/>
      <c r="C88" s="37" t="s">
        <v>230</v>
      </c>
      <c r="D88" s="302">
        <v>854</v>
      </c>
      <c r="F88" s="313"/>
      <c r="G88" s="132"/>
    </row>
    <row r="89" spans="1:7" ht="16.5" thickBot="1">
      <c r="A89" s="38">
        <v>39</v>
      </c>
      <c r="B89" s="38"/>
      <c r="C89" s="39" t="s">
        <v>30</v>
      </c>
      <c r="D89" s="492">
        <v>155</v>
      </c>
      <c r="F89" s="313"/>
      <c r="G89" s="132"/>
    </row>
    <row r="90" spans="1:8" ht="17.25" thickBot="1" thickTop="1">
      <c r="A90" s="40"/>
      <c r="B90" s="40"/>
      <c r="C90" s="41" t="s">
        <v>7</v>
      </c>
      <c r="D90" s="145">
        <f>SUM(D85:D89)</f>
        <v>3649</v>
      </c>
      <c r="E90" s="131"/>
      <c r="F90" s="132"/>
      <c r="G90" s="132"/>
      <c r="H90" s="131"/>
    </row>
    <row r="91" spans="2:7" ht="17.25" hidden="1" thickBot="1" thickTop="1">
      <c r="B91" s="618"/>
      <c r="C91" s="619"/>
      <c r="D91" s="619"/>
      <c r="F91" s="313"/>
      <c r="G91" s="313"/>
    </row>
    <row r="92" spans="1:7" ht="17.25" hidden="1" thickBot="1" thickTop="1">
      <c r="A92" s="42"/>
      <c r="B92" s="42"/>
      <c r="C92" s="43"/>
      <c r="D92" s="146"/>
      <c r="F92" s="313"/>
      <c r="G92" s="313"/>
    </row>
    <row r="93" spans="1:8" ht="17.25" hidden="1" thickBot="1" thickTop="1">
      <c r="A93" s="40"/>
      <c r="B93" s="40"/>
      <c r="C93" s="41"/>
      <c r="D93" s="145"/>
      <c r="F93" s="132"/>
      <c r="G93" s="132"/>
      <c r="H93" s="131"/>
    </row>
    <row r="94" spans="2:7" ht="17.25" hidden="1" thickBot="1" thickTop="1">
      <c r="B94" s="618"/>
      <c r="C94" s="619"/>
      <c r="D94" s="619"/>
      <c r="F94" s="313"/>
      <c r="G94" s="313"/>
    </row>
    <row r="95" spans="1:7" ht="17.25" hidden="1" thickBot="1" thickTop="1">
      <c r="A95" s="33"/>
      <c r="B95" s="33"/>
      <c r="C95" s="49"/>
      <c r="D95" s="24"/>
      <c r="F95" s="313"/>
      <c r="G95" s="313"/>
    </row>
    <row r="96" spans="1:7" ht="17.25" hidden="1" thickBot="1" thickTop="1">
      <c r="A96" s="36"/>
      <c r="B96" s="36"/>
      <c r="C96" s="50"/>
      <c r="D96" s="302"/>
      <c r="F96" s="67"/>
      <c r="G96" s="313"/>
    </row>
    <row r="97" spans="1:7" ht="17.25" hidden="1" thickBot="1" thickTop="1">
      <c r="A97" s="36"/>
      <c r="B97" s="36"/>
      <c r="C97" s="50"/>
      <c r="D97" s="13"/>
      <c r="F97" s="67"/>
      <c r="G97" s="313"/>
    </row>
    <row r="98" spans="1:7" s="138" customFormat="1" ht="17.25" hidden="1" thickBot="1" thickTop="1">
      <c r="A98" s="51"/>
      <c r="B98" s="51"/>
      <c r="C98" s="50"/>
      <c r="D98" s="302"/>
      <c r="E98" s="126"/>
      <c r="F98" s="139"/>
      <c r="G98" s="139"/>
    </row>
    <row r="99" spans="1:7" ht="17.25" hidden="1" thickBot="1" thickTop="1">
      <c r="A99" s="36"/>
      <c r="B99" s="36"/>
      <c r="C99" s="50"/>
      <c r="D99" s="13"/>
      <c r="F99" s="313"/>
      <c r="G99" s="313"/>
    </row>
    <row r="100" spans="1:7" ht="17.25" hidden="1" thickBot="1" thickTop="1">
      <c r="A100" s="36"/>
      <c r="B100" s="36"/>
      <c r="C100" s="50"/>
      <c r="D100" s="13"/>
      <c r="E100" s="129"/>
      <c r="F100" s="313"/>
      <c r="G100" s="313"/>
    </row>
    <row r="101" spans="1:7" ht="17.25" hidden="1" thickBot="1" thickTop="1">
      <c r="A101" s="38"/>
      <c r="B101" s="38"/>
      <c r="C101" s="52"/>
      <c r="D101" s="60"/>
      <c r="F101" s="313"/>
      <c r="G101" s="313"/>
    </row>
    <row r="102" spans="1:8" ht="17.25" hidden="1" thickBot="1" thickTop="1">
      <c r="A102" s="40"/>
      <c r="B102" s="40"/>
      <c r="C102" s="53"/>
      <c r="D102" s="147"/>
      <c r="F102" s="132"/>
      <c r="G102" s="132"/>
      <c r="H102" s="131"/>
    </row>
    <row r="103" spans="2:7" ht="17.25" hidden="1" thickBot="1" thickTop="1">
      <c r="B103" s="618"/>
      <c r="C103" s="619"/>
      <c r="D103" s="619"/>
      <c r="F103" s="313"/>
      <c r="G103" s="313"/>
    </row>
    <row r="104" spans="1:7" ht="17.25" hidden="1" thickBot="1" thickTop="1">
      <c r="A104" s="29"/>
      <c r="B104" s="29"/>
      <c r="C104" s="30"/>
      <c r="D104" s="303"/>
      <c r="F104" s="313"/>
      <c r="G104" s="313"/>
    </row>
    <row r="105" spans="1:7" ht="17.25" hidden="1" thickBot="1" thickTop="1">
      <c r="A105" s="36"/>
      <c r="B105" s="36"/>
      <c r="C105" s="37"/>
      <c r="D105" s="13"/>
      <c r="F105" s="313"/>
      <c r="G105" s="313"/>
    </row>
    <row r="106" spans="1:7" s="138" customFormat="1" ht="17.25" hidden="1" thickBot="1" thickTop="1">
      <c r="A106" s="51"/>
      <c r="B106" s="51"/>
      <c r="C106" s="37"/>
      <c r="D106" s="302"/>
      <c r="E106" s="126"/>
      <c r="F106" s="67"/>
      <c r="G106" s="139"/>
    </row>
    <row r="107" spans="1:7" ht="17.25" hidden="1" thickBot="1" thickTop="1">
      <c r="A107" s="36"/>
      <c r="B107" s="36"/>
      <c r="C107" s="37"/>
      <c r="D107" s="302"/>
      <c r="F107" s="67"/>
      <c r="G107" s="139"/>
    </row>
    <row r="108" spans="1:7" ht="17.25" hidden="1" thickBot="1" thickTop="1">
      <c r="A108" s="36"/>
      <c r="B108" s="36"/>
      <c r="C108" s="37"/>
      <c r="D108" s="302"/>
      <c r="F108" s="313"/>
      <c r="G108" s="313"/>
    </row>
    <row r="109" spans="1:7" ht="17.25" hidden="1" thickBot="1" thickTop="1">
      <c r="A109" s="36"/>
      <c r="B109" s="36"/>
      <c r="C109" s="37"/>
      <c r="D109" s="13"/>
      <c r="F109" s="313"/>
      <c r="G109" s="313"/>
    </row>
    <row r="110" spans="1:7" ht="17.25" hidden="1" thickBot="1" thickTop="1">
      <c r="A110" s="29"/>
      <c r="B110" s="29"/>
      <c r="C110" s="30"/>
      <c r="D110" s="15"/>
      <c r="F110" s="313"/>
      <c r="G110" s="313"/>
    </row>
    <row r="111" spans="1:7" ht="17.25" hidden="1" thickBot="1" thickTop="1">
      <c r="A111" s="54"/>
      <c r="B111" s="54"/>
      <c r="C111" s="37"/>
      <c r="D111" s="13"/>
      <c r="F111" s="313"/>
      <c r="G111" s="313"/>
    </row>
    <row r="112" spans="1:7" ht="17.25" hidden="1" thickBot="1" thickTop="1">
      <c r="A112" s="55"/>
      <c r="B112" s="55"/>
      <c r="C112" s="47"/>
      <c r="D112" s="20"/>
      <c r="F112" s="313"/>
      <c r="G112" s="313"/>
    </row>
    <row r="113" spans="1:8" ht="17.25" hidden="1" thickBot="1" thickTop="1">
      <c r="A113" s="31"/>
      <c r="B113" s="31"/>
      <c r="C113" s="32"/>
      <c r="D113" s="140"/>
      <c r="F113" s="132"/>
      <c r="G113" s="132"/>
      <c r="H113" s="131"/>
    </row>
    <row r="114" spans="2:7" ht="17.25" hidden="1" thickBot="1" thickTop="1">
      <c r="B114" s="618"/>
      <c r="C114" s="619"/>
      <c r="D114" s="619"/>
      <c r="F114" s="313"/>
      <c r="G114" s="313"/>
    </row>
    <row r="115" spans="1:7" ht="17.25" hidden="1" thickBot="1" thickTop="1">
      <c r="A115" s="33"/>
      <c r="B115" s="33"/>
      <c r="C115" s="49"/>
      <c r="D115" s="304"/>
      <c r="F115" s="313"/>
      <c r="G115" s="313"/>
    </row>
    <row r="116" spans="1:7" ht="17.25" hidden="1" thickBot="1" thickTop="1">
      <c r="A116" s="36"/>
      <c r="B116" s="36"/>
      <c r="C116" s="50"/>
      <c r="D116" s="13"/>
      <c r="F116" s="313"/>
      <c r="G116" s="313"/>
    </row>
    <row r="117" spans="1:7" ht="17.25" hidden="1" thickBot="1" thickTop="1">
      <c r="A117" s="36"/>
      <c r="B117" s="36"/>
      <c r="C117" s="50"/>
      <c r="D117" s="302"/>
      <c r="F117" s="67"/>
      <c r="G117" s="139"/>
    </row>
    <row r="118" spans="1:7" ht="17.25" hidden="1" thickBot="1" thickTop="1">
      <c r="A118" s="36"/>
      <c r="B118" s="36"/>
      <c r="C118" s="50"/>
      <c r="D118" s="302"/>
      <c r="F118" s="67"/>
      <c r="G118" s="139"/>
    </row>
    <row r="119" spans="1:7" ht="17.25" hidden="1" thickBot="1" thickTop="1">
      <c r="A119" s="36"/>
      <c r="B119" s="36"/>
      <c r="C119" s="50"/>
      <c r="D119" s="13"/>
      <c r="F119" s="313"/>
      <c r="G119" s="313"/>
    </row>
    <row r="120" spans="1:7" ht="17.25" hidden="1" thickBot="1" thickTop="1">
      <c r="A120" s="36"/>
      <c r="B120" s="36"/>
      <c r="C120" s="50"/>
      <c r="D120" s="13"/>
      <c r="F120" s="313"/>
      <c r="G120" s="313"/>
    </row>
    <row r="121" spans="1:7" ht="17.25" hidden="1" thickBot="1" thickTop="1">
      <c r="A121" s="45"/>
      <c r="B121" s="45"/>
      <c r="C121" s="37"/>
      <c r="D121" s="20"/>
      <c r="F121" s="313"/>
      <c r="G121" s="313"/>
    </row>
    <row r="122" spans="1:7" ht="17.25" hidden="1" thickBot="1" thickTop="1">
      <c r="A122" s="45"/>
      <c r="B122" s="45"/>
      <c r="C122" s="56"/>
      <c r="D122" s="20"/>
      <c r="F122" s="313"/>
      <c r="G122" s="313"/>
    </row>
    <row r="123" spans="1:8" ht="17.25" hidden="1" thickBot="1" thickTop="1">
      <c r="A123" s="31"/>
      <c r="B123" s="31"/>
      <c r="C123" s="28"/>
      <c r="D123" s="140"/>
      <c r="F123" s="132"/>
      <c r="G123" s="313"/>
      <c r="H123" s="131"/>
    </row>
    <row r="124" spans="2:7" ht="17.25" customHeight="1" hidden="1" thickBot="1" thickTop="1">
      <c r="B124" s="618"/>
      <c r="C124" s="619"/>
      <c r="D124" s="619"/>
      <c r="F124" s="313"/>
      <c r="G124" s="313"/>
    </row>
    <row r="125" spans="1:7" ht="17.25" hidden="1" thickBot="1" thickTop="1">
      <c r="A125" s="21"/>
      <c r="B125" s="21"/>
      <c r="C125" s="34"/>
      <c r="D125" s="304"/>
      <c r="F125" s="313"/>
      <c r="G125" s="313"/>
    </row>
    <row r="126" spans="1:7" ht="17.25" hidden="1" thickBot="1" thickTop="1">
      <c r="A126" s="54"/>
      <c r="B126" s="54"/>
      <c r="C126" s="37"/>
      <c r="D126" s="13"/>
      <c r="F126" s="313"/>
      <c r="G126" s="313"/>
    </row>
    <row r="127" spans="1:7" ht="17.25" hidden="1" thickBot="1" thickTop="1">
      <c r="A127" s="54"/>
      <c r="B127" s="54"/>
      <c r="C127" s="37"/>
      <c r="D127" s="302"/>
      <c r="F127" s="67"/>
      <c r="G127" s="139"/>
    </row>
    <row r="128" spans="1:7" ht="17.25" hidden="1" thickBot="1" thickTop="1">
      <c r="A128" s="36"/>
      <c r="B128" s="36"/>
      <c r="C128" s="37"/>
      <c r="D128" s="302"/>
      <c r="F128" s="67"/>
      <c r="G128" s="139"/>
    </row>
    <row r="129" spans="1:7" ht="17.25" hidden="1" thickBot="1" thickTop="1">
      <c r="A129" s="36"/>
      <c r="B129" s="36"/>
      <c r="C129" s="50"/>
      <c r="D129" s="302"/>
      <c r="F129" s="313"/>
      <c r="G129" s="313"/>
    </row>
    <row r="130" spans="1:7" ht="17.25" hidden="1" thickBot="1" thickTop="1">
      <c r="A130" s="36"/>
      <c r="B130" s="36"/>
      <c r="C130" s="37"/>
      <c r="D130" s="13"/>
      <c r="F130" s="313"/>
      <c r="G130" s="313"/>
    </row>
    <row r="131" spans="1:7" ht="17.25" hidden="1" thickBot="1" thickTop="1">
      <c r="A131" s="36"/>
      <c r="B131" s="36"/>
      <c r="C131" s="37"/>
      <c r="D131" s="13"/>
      <c r="F131" s="313"/>
      <c r="G131" s="313"/>
    </row>
    <row r="132" spans="1:7" ht="17.25" hidden="1" thickBot="1" thickTop="1">
      <c r="A132" s="55"/>
      <c r="B132" s="55"/>
      <c r="C132" s="47"/>
      <c r="D132" s="20"/>
      <c r="F132" s="313"/>
      <c r="G132" s="313"/>
    </row>
    <row r="133" spans="1:12" ht="17.25" hidden="1" thickBot="1" thickTop="1">
      <c r="A133" s="31"/>
      <c r="B133" s="31"/>
      <c r="C133" s="32"/>
      <c r="D133" s="140"/>
      <c r="F133" s="132"/>
      <c r="G133" s="313"/>
      <c r="H133" s="131"/>
      <c r="K133" s="131"/>
      <c r="L133" s="131"/>
    </row>
    <row r="134" spans="2:7" ht="17.25" hidden="1" thickBot="1" thickTop="1">
      <c r="B134" s="618"/>
      <c r="C134" s="619"/>
      <c r="D134" s="619"/>
      <c r="F134" s="313"/>
      <c r="G134" s="313"/>
    </row>
    <row r="135" spans="1:11" ht="17.25" hidden="1" thickBot="1" thickTop="1">
      <c r="A135" s="36"/>
      <c r="B135" s="36"/>
      <c r="C135" s="50"/>
      <c r="D135" s="13"/>
      <c r="F135" s="132"/>
      <c r="G135" s="132"/>
      <c r="H135" s="131"/>
      <c r="I135" s="131"/>
      <c r="J135" s="131"/>
      <c r="K135" s="131"/>
    </row>
    <row r="136" spans="1:7" ht="17.25" hidden="1" thickBot="1" thickTop="1">
      <c r="A136" s="36"/>
      <c r="B136" s="36"/>
      <c r="C136" s="50"/>
      <c r="D136" s="13"/>
      <c r="F136" s="313"/>
      <c r="G136" s="313"/>
    </row>
    <row r="137" spans="1:7" ht="17.25" hidden="1" thickBot="1" thickTop="1">
      <c r="A137" s="36"/>
      <c r="B137" s="36"/>
      <c r="C137" s="50"/>
      <c r="D137" s="302"/>
      <c r="F137" s="313"/>
      <c r="G137" s="313"/>
    </row>
    <row r="138" spans="1:10" ht="17.25" hidden="1" thickBot="1" thickTop="1">
      <c r="A138" s="36"/>
      <c r="B138" s="36"/>
      <c r="C138" s="50"/>
      <c r="D138" s="13"/>
      <c r="F138" s="313"/>
      <c r="G138" s="313"/>
      <c r="I138" s="131"/>
      <c r="J138" s="131"/>
    </row>
    <row r="139" spans="1:10" ht="17.25" hidden="1" thickBot="1" thickTop="1">
      <c r="A139" s="36"/>
      <c r="B139" s="36"/>
      <c r="C139" s="50"/>
      <c r="D139" s="13"/>
      <c r="F139" s="313"/>
      <c r="G139" s="313"/>
      <c r="I139" s="131"/>
      <c r="J139" s="131"/>
    </row>
    <row r="140" spans="1:7" ht="17.25" hidden="1" thickBot="1" thickTop="1">
      <c r="A140" s="36"/>
      <c r="B140" s="36"/>
      <c r="C140" s="50"/>
      <c r="D140" s="13"/>
      <c r="F140" s="313"/>
      <c r="G140" s="313"/>
    </row>
    <row r="141" spans="1:7" ht="17.25" hidden="1" thickBot="1" thickTop="1">
      <c r="A141" s="29"/>
      <c r="B141" s="29"/>
      <c r="C141" s="57"/>
      <c r="D141" s="15"/>
      <c r="F141" s="313"/>
      <c r="G141" s="313"/>
    </row>
    <row r="142" spans="1:7" ht="17.25" hidden="1" thickBot="1" thickTop="1">
      <c r="A142" s="36"/>
      <c r="B142" s="36"/>
      <c r="C142" s="50"/>
      <c r="D142" s="13"/>
      <c r="F142" s="313"/>
      <c r="G142" s="313"/>
    </row>
    <row r="143" spans="1:10" ht="17.25" hidden="1" thickBot="1" thickTop="1">
      <c r="A143" s="38"/>
      <c r="B143" s="38"/>
      <c r="C143" s="52"/>
      <c r="D143" s="60"/>
      <c r="F143" s="132"/>
      <c r="G143" s="313"/>
      <c r="J143" s="131"/>
    </row>
    <row r="144" spans="1:10" ht="17.25" hidden="1" thickBot="1" thickTop="1">
      <c r="A144" s="40"/>
      <c r="B144" s="40"/>
      <c r="C144" s="53"/>
      <c r="D144" s="145"/>
      <c r="F144" s="132"/>
      <c r="G144" s="132"/>
      <c r="H144" s="131"/>
      <c r="I144" s="131"/>
      <c r="J144" s="131"/>
    </row>
    <row r="145" spans="2:7" ht="17.25" hidden="1" thickBot="1" thickTop="1">
      <c r="B145" s="618"/>
      <c r="C145" s="619"/>
      <c r="D145" s="619"/>
      <c r="F145" s="313"/>
      <c r="G145" s="313"/>
    </row>
    <row r="146" spans="1:7" ht="17.25" hidden="1" thickBot="1" thickTop="1">
      <c r="A146" s="33"/>
      <c r="B146" s="33"/>
      <c r="C146" s="34"/>
      <c r="D146" s="356"/>
      <c r="F146" s="313"/>
      <c r="G146" s="313"/>
    </row>
    <row r="147" spans="1:7" ht="17.25" hidden="1" thickBot="1" thickTop="1">
      <c r="A147" s="29"/>
      <c r="B147" s="29"/>
      <c r="C147" s="30"/>
      <c r="D147" s="357"/>
      <c r="F147" s="313"/>
      <c r="G147" s="313"/>
    </row>
    <row r="148" spans="1:7" ht="17.25" hidden="1" thickBot="1" thickTop="1">
      <c r="A148" s="36"/>
      <c r="B148" s="36"/>
      <c r="C148" s="37"/>
      <c r="D148" s="355"/>
      <c r="F148" s="313"/>
      <c r="G148" s="313"/>
    </row>
    <row r="149" spans="1:7" ht="17.25" hidden="1" thickBot="1" thickTop="1">
      <c r="A149" s="36"/>
      <c r="B149" s="36"/>
      <c r="C149" s="30"/>
      <c r="D149" s="355"/>
      <c r="F149" s="313"/>
      <c r="G149" s="313"/>
    </row>
    <row r="150" spans="1:7" ht="17.25" hidden="1" thickBot="1" thickTop="1">
      <c r="A150" s="36"/>
      <c r="B150" s="36"/>
      <c r="C150" s="37"/>
      <c r="D150" s="355"/>
      <c r="F150" s="313"/>
      <c r="G150" s="313"/>
    </row>
    <row r="151" spans="1:7" ht="17.25" hidden="1" thickBot="1" thickTop="1">
      <c r="A151" s="36"/>
      <c r="B151" s="36"/>
      <c r="C151" s="37"/>
      <c r="D151" s="355"/>
      <c r="F151" s="313"/>
      <c r="G151" s="313"/>
    </row>
    <row r="152" spans="1:7" ht="17.25" hidden="1" thickBot="1" thickTop="1">
      <c r="A152" s="36"/>
      <c r="B152" s="36"/>
      <c r="C152" s="37"/>
      <c r="D152" s="148"/>
      <c r="F152" s="313"/>
      <c r="G152" s="313"/>
    </row>
    <row r="153" spans="1:7" ht="17.25" hidden="1" thickBot="1" thickTop="1">
      <c r="A153" s="36"/>
      <c r="B153" s="36"/>
      <c r="C153" s="37"/>
      <c r="D153" s="127"/>
      <c r="F153" s="313"/>
      <c r="G153" s="313"/>
    </row>
    <row r="154" spans="1:7" ht="17.25" hidden="1" thickBot="1" thickTop="1">
      <c r="A154" s="51"/>
      <c r="B154" s="51"/>
      <c r="C154" s="50"/>
      <c r="D154" s="355"/>
      <c r="F154" s="313"/>
      <c r="G154" s="313"/>
    </row>
    <row r="155" spans="1:7" ht="17.25" hidden="1" thickBot="1" thickTop="1">
      <c r="A155" s="36"/>
      <c r="B155" s="36"/>
      <c r="C155" s="37"/>
      <c r="D155" s="127"/>
      <c r="F155" s="313"/>
      <c r="G155" s="313"/>
    </row>
    <row r="156" spans="1:7" ht="17.25" hidden="1" thickBot="1" thickTop="1">
      <c r="A156" s="36"/>
      <c r="B156" s="36"/>
      <c r="C156" s="37"/>
      <c r="D156" s="127"/>
      <c r="F156" s="313"/>
      <c r="G156" s="313"/>
    </row>
    <row r="157" spans="1:7" ht="17.25" hidden="1" thickBot="1" thickTop="1">
      <c r="A157" s="45"/>
      <c r="B157" s="45"/>
      <c r="C157" s="47"/>
      <c r="D157" s="148"/>
      <c r="F157" s="313"/>
      <c r="G157" s="313"/>
    </row>
    <row r="158" spans="1:12" ht="17.25" hidden="1" thickBot="1" thickTop="1">
      <c r="A158" s="31"/>
      <c r="B158" s="31"/>
      <c r="C158" s="32"/>
      <c r="D158" s="149"/>
      <c r="F158" s="132"/>
      <c r="G158" s="132"/>
      <c r="H158" s="131"/>
      <c r="K158" s="131"/>
      <c r="L158" s="131"/>
    </row>
    <row r="159" spans="2:7" ht="17.25" hidden="1" thickBot="1" thickTop="1">
      <c r="B159" s="618"/>
      <c r="C159" s="619"/>
      <c r="D159" s="619"/>
      <c r="F159" s="313"/>
      <c r="G159" s="313"/>
    </row>
    <row r="160" spans="1:7" ht="17.25" hidden="1" thickBot="1" thickTop="1">
      <c r="A160" s="36"/>
      <c r="B160" s="36"/>
      <c r="C160" s="50"/>
      <c r="D160" s="13"/>
      <c r="F160" s="313"/>
      <c r="G160" s="313"/>
    </row>
    <row r="161" spans="1:7" ht="17.25" hidden="1" thickBot="1" thickTop="1">
      <c r="A161" s="36"/>
      <c r="B161" s="36"/>
      <c r="C161" s="50"/>
      <c r="D161" s="302"/>
      <c r="F161" s="313"/>
      <c r="G161" s="313"/>
    </row>
    <row r="162" spans="1:7" ht="17.25" hidden="1" thickBot="1" thickTop="1">
      <c r="A162" s="36"/>
      <c r="B162" s="36"/>
      <c r="C162" s="50"/>
      <c r="D162" s="302"/>
      <c r="F162" s="313"/>
      <c r="G162" s="313"/>
    </row>
    <row r="163" spans="1:7" ht="17.25" hidden="1" thickBot="1" thickTop="1">
      <c r="A163" s="36"/>
      <c r="B163" s="36"/>
      <c r="C163" s="50"/>
      <c r="D163" s="302"/>
      <c r="F163" s="313"/>
      <c r="G163" s="313"/>
    </row>
    <row r="164" spans="1:7" ht="17.25" hidden="1" thickBot="1" thickTop="1">
      <c r="A164" s="36"/>
      <c r="B164" s="36"/>
      <c r="C164" s="50"/>
      <c r="D164" s="302"/>
      <c r="F164" s="313"/>
      <c r="G164" s="313"/>
    </row>
    <row r="165" spans="1:4" ht="17.25" hidden="1" thickBot="1" thickTop="1">
      <c r="A165" s="29"/>
      <c r="B165" s="29"/>
      <c r="C165" s="57"/>
      <c r="D165" s="15"/>
    </row>
    <row r="166" spans="1:4" ht="17.25" hidden="1" thickBot="1" thickTop="1">
      <c r="A166" s="45"/>
      <c r="B166" s="45"/>
      <c r="C166" s="50"/>
      <c r="D166" s="20"/>
    </row>
    <row r="167" spans="1:4" ht="17.25" hidden="1" thickBot="1" thickTop="1">
      <c r="A167" s="36"/>
      <c r="B167" s="36"/>
      <c r="C167" s="50"/>
      <c r="D167" s="13"/>
    </row>
    <row r="168" spans="1:4" ht="17.25" hidden="1" thickBot="1" thickTop="1">
      <c r="A168" s="60"/>
      <c r="B168" s="60"/>
      <c r="C168" s="61"/>
      <c r="D168" s="60"/>
    </row>
    <row r="169" spans="1:12" ht="17.25" hidden="1" thickBot="1" thickTop="1">
      <c r="A169" s="31"/>
      <c r="B169" s="31"/>
      <c r="C169" s="28"/>
      <c r="D169" s="140"/>
      <c r="F169" s="131"/>
      <c r="G169" s="131"/>
      <c r="H169" s="131"/>
      <c r="K169" s="131"/>
      <c r="L169" s="131"/>
    </row>
    <row r="170" spans="2:12" ht="17.25" hidden="1" thickBot="1" thickTop="1">
      <c r="B170" s="618"/>
      <c r="C170" s="619"/>
      <c r="D170" s="619"/>
      <c r="F170" s="131"/>
      <c r="G170" s="131"/>
      <c r="H170" s="131"/>
      <c r="K170" s="131"/>
      <c r="L170" s="131"/>
    </row>
    <row r="171" spans="1:12" ht="17.25" hidden="1" thickBot="1" thickTop="1">
      <c r="A171" s="36"/>
      <c r="B171" s="36"/>
      <c r="C171" s="50"/>
      <c r="D171" s="302"/>
      <c r="F171" s="131"/>
      <c r="G171" s="131"/>
      <c r="H171" s="131"/>
      <c r="K171" s="131"/>
      <c r="L171" s="131"/>
    </row>
    <row r="172" spans="1:12" ht="17.25" hidden="1" thickBot="1" thickTop="1">
      <c r="A172" s="36"/>
      <c r="B172" s="36"/>
      <c r="C172" s="50"/>
      <c r="D172" s="13"/>
      <c r="F172" s="131"/>
      <c r="G172" s="131"/>
      <c r="H172" s="131"/>
      <c r="K172" s="131"/>
      <c r="L172" s="131"/>
    </row>
    <row r="173" spans="1:12" ht="17.25" hidden="1" thickBot="1" thickTop="1">
      <c r="A173" s="29"/>
      <c r="B173" s="29"/>
      <c r="C173" s="57"/>
      <c r="D173" s="15"/>
      <c r="F173" s="131"/>
      <c r="G173" s="131"/>
      <c r="H173" s="131"/>
      <c r="K173" s="131"/>
      <c r="L173" s="131"/>
    </row>
    <row r="174" spans="1:12" ht="17.25" hidden="1" thickBot="1" thickTop="1">
      <c r="A174" s="36"/>
      <c r="B174" s="36"/>
      <c r="C174" s="50"/>
      <c r="D174" s="13"/>
      <c r="F174" s="131"/>
      <c r="G174" s="131"/>
      <c r="H174" s="131"/>
      <c r="K174" s="131"/>
      <c r="L174" s="131"/>
    </row>
    <row r="175" spans="1:12" ht="17.25" hidden="1" thickBot="1" thickTop="1">
      <c r="A175" s="38"/>
      <c r="B175" s="38"/>
      <c r="C175" s="52"/>
      <c r="D175" s="60"/>
      <c r="F175" s="131"/>
      <c r="G175" s="131"/>
      <c r="H175" s="131"/>
      <c r="K175" s="131"/>
      <c r="L175" s="131"/>
    </row>
    <row r="176" spans="1:12" ht="17.25" hidden="1" thickBot="1" thickTop="1">
      <c r="A176" s="40"/>
      <c r="B176" s="40"/>
      <c r="C176" s="53"/>
      <c r="D176" s="145"/>
      <c r="E176" s="301"/>
      <c r="F176" s="131"/>
      <c r="G176" s="131"/>
      <c r="H176" s="131"/>
      <c r="K176" s="131"/>
      <c r="L176" s="131"/>
    </row>
    <row r="177" spans="1:12" ht="17.25" customHeight="1" thickBot="1" thickTop="1">
      <c r="A177" s="619" t="s">
        <v>250</v>
      </c>
      <c r="B177" s="619"/>
      <c r="C177" s="619"/>
      <c r="D177" s="619"/>
      <c r="F177" s="131"/>
      <c r="G177" s="131"/>
      <c r="H177" s="131"/>
      <c r="K177" s="131"/>
      <c r="L177" s="131"/>
    </row>
    <row r="178" spans="1:12" ht="16.5" thickTop="1">
      <c r="A178" s="36">
        <v>52</v>
      </c>
      <c r="B178" s="36"/>
      <c r="C178" s="50" t="s">
        <v>2</v>
      </c>
      <c r="D178" s="302">
        <f>5+7</f>
        <v>12</v>
      </c>
      <c r="F178" s="131"/>
      <c r="G178" s="131"/>
      <c r="H178" s="131"/>
      <c r="K178" s="131"/>
      <c r="L178" s="131"/>
    </row>
    <row r="179" spans="1:12" ht="16.5" thickBot="1">
      <c r="A179" s="40"/>
      <c r="B179" s="40"/>
      <c r="C179" s="53" t="s">
        <v>7</v>
      </c>
      <c r="D179" s="145">
        <f>SUM(D178:D178)</f>
        <v>12</v>
      </c>
      <c r="F179" s="131"/>
      <c r="G179" s="131"/>
      <c r="H179" s="131"/>
      <c r="K179" s="131"/>
      <c r="L179" s="131"/>
    </row>
    <row r="180" spans="1:12" ht="17.25" customHeight="1" hidden="1" thickBot="1" thickTop="1">
      <c r="A180" s="619" t="s">
        <v>295</v>
      </c>
      <c r="B180" s="619"/>
      <c r="C180" s="619"/>
      <c r="D180" s="619"/>
      <c r="F180" s="131"/>
      <c r="G180" s="131"/>
      <c r="H180" s="131"/>
      <c r="K180" s="131"/>
      <c r="L180" s="131"/>
    </row>
    <row r="181" spans="1:12" ht="17.25" hidden="1" thickBot="1" thickTop="1">
      <c r="A181" s="36">
        <v>30</v>
      </c>
      <c r="B181" s="36"/>
      <c r="C181" s="418" t="s">
        <v>72</v>
      </c>
      <c r="D181" s="13"/>
      <c r="F181" s="131"/>
      <c r="G181" s="131"/>
      <c r="H181" s="131"/>
      <c r="K181" s="131"/>
      <c r="L181" s="131"/>
    </row>
    <row r="182" spans="1:12" ht="17.25" hidden="1" thickBot="1" thickTop="1">
      <c r="A182" s="40"/>
      <c r="B182" s="40"/>
      <c r="C182" s="53" t="s">
        <v>7</v>
      </c>
      <c r="D182" s="145">
        <f>D181</f>
        <v>0</v>
      </c>
      <c r="F182" s="131"/>
      <c r="G182" s="131"/>
      <c r="H182" s="131"/>
      <c r="K182" s="131"/>
      <c r="L182" s="131"/>
    </row>
    <row r="183" spans="1:12" ht="32.25" customHeight="1" thickBot="1" thickTop="1">
      <c r="A183" s="619" t="s">
        <v>372</v>
      </c>
      <c r="B183" s="619"/>
      <c r="C183" s="619"/>
      <c r="D183" s="619"/>
      <c r="F183" s="131"/>
      <c r="G183" s="131"/>
      <c r="H183" s="131"/>
      <c r="K183" s="131"/>
      <c r="L183" s="131"/>
    </row>
    <row r="184" spans="1:12" ht="32.25" thickTop="1">
      <c r="A184" s="21"/>
      <c r="B184" s="21"/>
      <c r="C184" s="22" t="s">
        <v>177</v>
      </c>
      <c r="D184" s="493">
        <v>1780</v>
      </c>
      <c r="F184" s="131"/>
      <c r="G184" s="131"/>
      <c r="H184" s="131"/>
      <c r="K184" s="131"/>
      <c r="L184" s="131"/>
    </row>
    <row r="185" spans="1:12" ht="15.75">
      <c r="A185" s="163"/>
      <c r="B185" s="163"/>
      <c r="C185" s="158" t="s">
        <v>171</v>
      </c>
      <c r="D185" s="494">
        <v>53</v>
      </c>
      <c r="F185" s="131"/>
      <c r="G185" s="131"/>
      <c r="H185" s="131"/>
      <c r="K185" s="131"/>
      <c r="L185" s="131"/>
    </row>
    <row r="186" spans="1:12" ht="16.5" thickBot="1">
      <c r="A186" s="40"/>
      <c r="B186" s="40"/>
      <c r="C186" s="121" t="s">
        <v>176</v>
      </c>
      <c r="D186" s="495">
        <v>130</v>
      </c>
      <c r="F186" s="131"/>
      <c r="G186" s="131"/>
      <c r="H186" s="131"/>
      <c r="K186" s="131"/>
      <c r="L186" s="131"/>
    </row>
    <row r="187" spans="1:8" ht="16.5" thickTop="1">
      <c r="A187" s="33"/>
      <c r="B187" s="33"/>
      <c r="C187" s="22" t="s">
        <v>175</v>
      </c>
      <c r="D187" s="130">
        <f>D169+D158+D144+D133+D123+D113+D102+D93+D90+D83+D67+D59+D176+D184+D179+D182</f>
        <v>22867</v>
      </c>
      <c r="E187" s="295">
        <f>22137+730</f>
        <v>22867</v>
      </c>
      <c r="F187" s="131">
        <f>E187-D187</f>
        <v>0</v>
      </c>
      <c r="G187" s="131"/>
      <c r="H187" s="131"/>
    </row>
    <row r="188" spans="1:8" ht="15.75">
      <c r="A188" s="63"/>
      <c r="B188" s="63"/>
      <c r="C188" s="158" t="s">
        <v>171</v>
      </c>
      <c r="D188" s="150">
        <f>D68+D60+D185</f>
        <v>1157</v>
      </c>
      <c r="E188" s="131">
        <v>1157</v>
      </c>
      <c r="F188" s="131">
        <f>E188-D188</f>
        <v>0</v>
      </c>
      <c r="G188" s="131"/>
      <c r="H188" s="131"/>
    </row>
    <row r="189" spans="1:8" ht="15.75">
      <c r="A189" s="63"/>
      <c r="B189" s="63"/>
      <c r="C189" s="64" t="s">
        <v>176</v>
      </c>
      <c r="D189" s="151">
        <f>D153+D154+D111+D75+D31+D186+D181+D32+D33</f>
        <v>730</v>
      </c>
      <c r="E189" s="131">
        <v>730</v>
      </c>
      <c r="F189" s="131">
        <f>E189-D189</f>
        <v>0</v>
      </c>
      <c r="G189" s="131"/>
      <c r="H189" s="131"/>
    </row>
    <row r="190" spans="1:10" ht="16.5" thickBot="1">
      <c r="A190" s="23"/>
      <c r="B190" s="23"/>
      <c r="C190" s="121" t="s">
        <v>170</v>
      </c>
      <c r="D190" s="152">
        <f>D61</f>
        <v>460</v>
      </c>
      <c r="E190" s="131"/>
      <c r="F190" s="131"/>
      <c r="G190" s="131"/>
      <c r="H190" s="131"/>
      <c r="I190" s="131"/>
      <c r="J190" s="131"/>
    </row>
    <row r="191" spans="1:6" s="154" customFormat="1" ht="16.5" thickTop="1">
      <c r="A191" s="65"/>
      <c r="B191" s="65"/>
      <c r="C191" s="66"/>
      <c r="D191" s="65"/>
      <c r="E191" s="65"/>
      <c r="F191" s="153"/>
    </row>
    <row r="192" spans="1:6" s="154" customFormat="1" ht="15.75">
      <c r="A192" s="65"/>
      <c r="B192" s="65"/>
      <c r="C192" s="9" t="s">
        <v>62</v>
      </c>
      <c r="D192" s="168">
        <f>D85</f>
        <v>104</v>
      </c>
      <c r="E192" s="65"/>
      <c r="F192" s="153"/>
    </row>
    <row r="193" spans="1:5" ht="15.75">
      <c r="A193" s="67"/>
      <c r="B193" s="67"/>
      <c r="C193" s="9" t="s">
        <v>233</v>
      </c>
      <c r="D193" s="168">
        <f>D8+D9+D10+D86+D87+D88</f>
        <v>3956</v>
      </c>
      <c r="E193" s="65"/>
    </row>
    <row r="194" spans="1:5" ht="15.75">
      <c r="A194" s="67"/>
      <c r="B194" s="67"/>
      <c r="C194" s="9" t="s">
        <v>15</v>
      </c>
      <c r="D194" s="168">
        <f>D11</f>
        <v>369</v>
      </c>
      <c r="E194" s="65"/>
    </row>
    <row r="195" spans="1:5" ht="15.75">
      <c r="A195" s="67"/>
      <c r="B195" s="67"/>
      <c r="C195" s="9" t="s">
        <v>16</v>
      </c>
      <c r="D195" s="168">
        <f>D12</f>
        <v>186</v>
      </c>
      <c r="E195" s="65"/>
    </row>
    <row r="196" spans="1:4" ht="15.75">
      <c r="A196" s="68"/>
      <c r="B196" s="68"/>
      <c r="C196" s="9" t="s">
        <v>85</v>
      </c>
      <c r="D196" s="168">
        <f>D13</f>
        <v>39</v>
      </c>
    </row>
    <row r="197" spans="1:4" ht="15.75">
      <c r="A197" s="67"/>
      <c r="B197" s="67"/>
      <c r="C197" s="9" t="s">
        <v>50</v>
      </c>
      <c r="D197" s="168">
        <f>D14+D15</f>
        <v>306</v>
      </c>
    </row>
    <row r="198" spans="1:4" ht="15.75">
      <c r="A198" s="155"/>
      <c r="B198" s="155"/>
      <c r="C198" s="9" t="s">
        <v>28</v>
      </c>
      <c r="D198" s="168">
        <f>D16+D17+D74</f>
        <v>2457</v>
      </c>
    </row>
    <row r="199" spans="1:4" ht="15.75">
      <c r="A199" s="155"/>
      <c r="B199" s="155"/>
      <c r="C199" s="9" t="s">
        <v>17</v>
      </c>
      <c r="D199" s="168">
        <f>D18+D71</f>
        <v>962</v>
      </c>
    </row>
    <row r="200" spans="1:4" ht="15.75">
      <c r="A200" s="156"/>
      <c r="B200" s="156"/>
      <c r="C200" s="9" t="s">
        <v>72</v>
      </c>
      <c r="D200" s="168">
        <f>D181+D31+D75+D32+D33</f>
        <v>600</v>
      </c>
    </row>
    <row r="201" spans="1:4" ht="15.75">
      <c r="A201" s="156"/>
      <c r="B201" s="156"/>
      <c r="C201" s="9" t="s">
        <v>26</v>
      </c>
      <c r="D201" s="168">
        <f>D34+D76</f>
        <v>926</v>
      </c>
    </row>
    <row r="202" spans="1:4" ht="15.75">
      <c r="A202" s="156"/>
      <c r="B202" s="156"/>
      <c r="C202" s="9" t="s">
        <v>37</v>
      </c>
      <c r="D202" s="168">
        <f>D35+D77</f>
        <v>381</v>
      </c>
    </row>
    <row r="203" spans="1:4" ht="15.75">
      <c r="A203" s="156"/>
      <c r="B203" s="156"/>
      <c r="C203" s="9" t="s">
        <v>18</v>
      </c>
      <c r="D203" s="168">
        <f>D36</f>
        <v>394</v>
      </c>
    </row>
    <row r="204" spans="1:4" ht="15.75">
      <c r="A204" s="156"/>
      <c r="B204" s="156"/>
      <c r="C204" s="9" t="s">
        <v>67</v>
      </c>
      <c r="D204" s="168">
        <f>D79+D89</f>
        <v>425</v>
      </c>
    </row>
    <row r="205" spans="1:4" ht="15.75">
      <c r="A205" s="156"/>
      <c r="B205" s="156"/>
      <c r="C205" s="9" t="s">
        <v>234</v>
      </c>
      <c r="D205" s="168">
        <f>D37+D38+D39</f>
        <v>1104</v>
      </c>
    </row>
    <row r="206" spans="1:4" ht="15.75">
      <c r="A206" s="156"/>
      <c r="B206" s="156"/>
      <c r="C206" s="9" t="s">
        <v>357</v>
      </c>
      <c r="D206" s="168">
        <f>D40</f>
        <v>376</v>
      </c>
    </row>
    <row r="207" spans="1:4" ht="15.75">
      <c r="A207" s="156"/>
      <c r="B207" s="156"/>
      <c r="C207" s="9" t="s">
        <v>19</v>
      </c>
      <c r="D207" s="168">
        <f>D41+D178</f>
        <v>457</v>
      </c>
    </row>
    <row r="208" spans="1:4" ht="15.75">
      <c r="A208" s="156"/>
      <c r="B208" s="156"/>
      <c r="C208" s="9" t="s">
        <v>24</v>
      </c>
      <c r="D208" s="168">
        <f>D42+D80</f>
        <v>1128</v>
      </c>
    </row>
    <row r="209" spans="1:4" ht="15.75">
      <c r="A209" s="156"/>
      <c r="B209" s="156"/>
      <c r="C209" s="9" t="s">
        <v>20</v>
      </c>
      <c r="D209" s="168">
        <f>D43+D78</f>
        <v>536</v>
      </c>
    </row>
    <row r="210" spans="1:4" ht="15.75">
      <c r="A210" s="156"/>
      <c r="B210" s="156"/>
      <c r="C210" s="9" t="s">
        <v>52</v>
      </c>
      <c r="D210" s="168">
        <f>D44</f>
        <v>15</v>
      </c>
    </row>
    <row r="211" spans="1:4" ht="15.75">
      <c r="A211" s="156"/>
      <c r="B211" s="156"/>
      <c r="C211" s="9" t="s">
        <v>27</v>
      </c>
      <c r="D211" s="168">
        <f>D45</f>
        <v>266</v>
      </c>
    </row>
    <row r="212" spans="1:4" ht="15.75">
      <c r="A212" s="156"/>
      <c r="B212" s="156"/>
      <c r="C212" s="9" t="s">
        <v>21</v>
      </c>
      <c r="D212" s="168">
        <f>D46</f>
        <v>1536</v>
      </c>
    </row>
    <row r="213" spans="1:4" ht="15.75">
      <c r="A213" s="156"/>
      <c r="B213" s="156"/>
      <c r="C213" s="9" t="s">
        <v>68</v>
      </c>
      <c r="D213" s="168">
        <f>D47+D53+D81</f>
        <v>1132</v>
      </c>
    </row>
    <row r="214" spans="1:4" ht="15.75">
      <c r="A214" s="156"/>
      <c r="B214" s="156"/>
      <c r="C214" s="9" t="s">
        <v>49</v>
      </c>
      <c r="D214" s="168">
        <f>D54+D72</f>
        <v>645</v>
      </c>
    </row>
    <row r="215" spans="1:4" ht="15.75">
      <c r="A215" s="156"/>
      <c r="B215" s="156"/>
      <c r="C215" s="9" t="s">
        <v>29</v>
      </c>
      <c r="D215" s="168">
        <f>D55+D70</f>
        <v>2374</v>
      </c>
    </row>
    <row r="216" spans="1:4" ht="15.75">
      <c r="A216" s="156"/>
      <c r="B216" s="156"/>
      <c r="C216" s="9" t="s">
        <v>69</v>
      </c>
      <c r="D216" s="168">
        <f>D82+D56</f>
        <v>60</v>
      </c>
    </row>
    <row r="217" spans="1:4" ht="15.75">
      <c r="A217" s="156"/>
      <c r="B217" s="156"/>
      <c r="C217" s="9" t="s">
        <v>39</v>
      </c>
      <c r="D217" s="168">
        <f>D57</f>
        <v>100</v>
      </c>
    </row>
    <row r="218" spans="1:4" ht="15.75">
      <c r="A218" s="156"/>
      <c r="B218" s="156"/>
      <c r="C218" s="9" t="s">
        <v>22</v>
      </c>
      <c r="D218" s="168">
        <f>D58+D73</f>
        <v>253</v>
      </c>
    </row>
    <row r="219" spans="1:6" ht="15.75">
      <c r="A219" s="156"/>
      <c r="B219" s="156"/>
      <c r="C219" s="112" t="s">
        <v>235</v>
      </c>
      <c r="D219" s="203">
        <f>SUM(D192:D218)</f>
        <v>21087</v>
      </c>
      <c r="E219" s="295">
        <f>D187-D184</f>
        <v>21087</v>
      </c>
      <c r="F219" s="295">
        <f>E219-D219</f>
        <v>0</v>
      </c>
    </row>
    <row r="220" spans="1:4" ht="15">
      <c r="A220" s="156"/>
      <c r="B220" s="156"/>
      <c r="C220" s="156"/>
      <c r="D220" s="156"/>
    </row>
    <row r="221" spans="1:4" ht="15">
      <c r="A221" s="156"/>
      <c r="B221" s="156"/>
      <c r="C221" s="156"/>
      <c r="D221" s="156"/>
    </row>
    <row r="222" spans="1:4" ht="15">
      <c r="A222" s="156"/>
      <c r="B222" s="156"/>
      <c r="C222" s="156"/>
      <c r="D222" s="156"/>
    </row>
    <row r="223" spans="1:4" ht="15">
      <c r="A223" s="156"/>
      <c r="B223" s="156"/>
      <c r="C223" s="156"/>
      <c r="D223" s="156"/>
    </row>
    <row r="224" spans="1:4" ht="15">
      <c r="A224" s="156"/>
      <c r="B224" s="156"/>
      <c r="C224" s="156"/>
      <c r="D224" s="156"/>
    </row>
    <row r="225" spans="1:4" ht="15">
      <c r="A225" s="156"/>
      <c r="B225" s="156"/>
      <c r="C225" s="156"/>
      <c r="D225" s="156"/>
    </row>
    <row r="226" spans="1:4" ht="15">
      <c r="A226" s="156"/>
      <c r="B226" s="156"/>
      <c r="C226" s="156"/>
      <c r="D226" s="156"/>
    </row>
    <row r="227" spans="1:4" ht="15">
      <c r="A227" s="156"/>
      <c r="B227" s="156"/>
      <c r="C227" s="156"/>
      <c r="D227" s="156"/>
    </row>
    <row r="228" spans="1:4" ht="15">
      <c r="A228" s="156"/>
      <c r="B228" s="156"/>
      <c r="C228" s="156"/>
      <c r="D228" s="156"/>
    </row>
    <row r="229" spans="1:4" ht="15">
      <c r="A229" s="156"/>
      <c r="B229" s="156"/>
      <c r="C229" s="156"/>
      <c r="D229" s="156"/>
    </row>
    <row r="230" spans="1:4" ht="15">
      <c r="A230" s="156"/>
      <c r="B230" s="156"/>
      <c r="C230" s="156"/>
      <c r="D230" s="156"/>
    </row>
    <row r="231" spans="1:4" ht="15">
      <c r="A231" s="156"/>
      <c r="B231" s="156"/>
      <c r="C231" s="156"/>
      <c r="D231" s="156"/>
    </row>
    <row r="232" spans="1:4" ht="15">
      <c r="A232" s="156"/>
      <c r="B232" s="156"/>
      <c r="C232" s="156"/>
      <c r="D232" s="156"/>
    </row>
    <row r="233" spans="1:4" ht="15">
      <c r="A233" s="156"/>
      <c r="B233" s="156"/>
      <c r="C233" s="156"/>
      <c r="D233" s="156"/>
    </row>
    <row r="234" spans="1:4" ht="15">
      <c r="A234" s="156"/>
      <c r="B234" s="156"/>
      <c r="C234" s="156"/>
      <c r="D234" s="156"/>
    </row>
    <row r="235" spans="1:4" ht="15">
      <c r="A235" s="156"/>
      <c r="B235" s="156"/>
      <c r="C235" s="156"/>
      <c r="D235" s="156"/>
    </row>
    <row r="236" spans="1:4" ht="15">
      <c r="A236" s="156"/>
      <c r="B236" s="156"/>
      <c r="C236" s="156"/>
      <c r="D236" s="156"/>
    </row>
  </sheetData>
  <sheetProtection/>
  <mergeCells count="20">
    <mergeCell ref="B4:D4"/>
    <mergeCell ref="B124:D124"/>
    <mergeCell ref="B145:D145"/>
    <mergeCell ref="B62:D62"/>
    <mergeCell ref="B94:D94"/>
    <mergeCell ref="B159:D159"/>
    <mergeCell ref="B134:D134"/>
    <mergeCell ref="B91:D91"/>
    <mergeCell ref="B49:B51"/>
    <mergeCell ref="B114:D114"/>
    <mergeCell ref="B170:D170"/>
    <mergeCell ref="A183:D183"/>
    <mergeCell ref="A49:A51"/>
    <mergeCell ref="A7:D7"/>
    <mergeCell ref="A69:D69"/>
    <mergeCell ref="A84:D84"/>
    <mergeCell ref="A177:D177"/>
    <mergeCell ref="A180:D180"/>
    <mergeCell ref="D49:D51"/>
    <mergeCell ref="B103:D103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Q204"/>
  <sheetViews>
    <sheetView view="pageBreakPreview" zoomScale="85" zoomScaleSheetLayoutView="85" zoomScalePageLayoutView="0" workbookViewId="0" topLeftCell="A1">
      <pane ySplit="8" topLeftCell="A50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8.7109375" style="126" customWidth="1"/>
    <col min="2" max="2" width="35.8515625" style="126" customWidth="1"/>
    <col min="3" max="3" width="14.7109375" style="126" customWidth="1"/>
    <col min="4" max="4" width="17.421875" style="126" customWidth="1"/>
    <col min="5" max="5" width="14.7109375" style="126" customWidth="1"/>
    <col min="6" max="6" width="21.140625" style="164" customWidth="1"/>
    <col min="7" max="7" width="9.140625" style="126" customWidth="1"/>
    <col min="8" max="8" width="15.00390625" style="126" customWidth="1"/>
    <col min="9" max="16384" width="9.140625" style="126" customWidth="1"/>
  </cols>
  <sheetData>
    <row r="1" ht="15.75">
      <c r="F1" s="427" t="s">
        <v>298</v>
      </c>
    </row>
    <row r="3" spans="1:6" s="124" customFormat="1" ht="46.5" customHeight="1">
      <c r="A3" s="627" t="str">
        <f>'1. АМП'!A5:E5</f>
        <v>РАСПРЕДЕЛЕНИЕ  ОБЪЁМОВ МЕДИЦИНСКОЙ ПОМОЩИ И ОБЪЕМОВ ФИНАНСОВОГО ОБЕСПЕЧЕНИЯ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27"/>
      <c r="C3" s="627"/>
      <c r="D3" s="627"/>
      <c r="E3" s="627"/>
      <c r="F3" s="627"/>
    </row>
    <row r="4" spans="1:6" s="124" customFormat="1" ht="19.5" customHeight="1">
      <c r="A4" s="125"/>
      <c r="B4" s="125"/>
      <c r="C4" s="125"/>
      <c r="D4" s="125"/>
      <c r="E4" s="125"/>
      <c r="F4" s="125"/>
    </row>
    <row r="5" spans="1:6" s="124" customFormat="1" ht="22.5" customHeight="1">
      <c r="A5" s="628" t="s">
        <v>303</v>
      </c>
      <c r="B5" s="628"/>
      <c r="C5" s="628"/>
      <c r="D5" s="628"/>
      <c r="E5" s="628"/>
      <c r="F5" s="628"/>
    </row>
    <row r="6" ht="16.5" thickBot="1"/>
    <row r="7" spans="1:6" ht="20.25" customHeight="1" thickTop="1">
      <c r="A7" s="629" t="s">
        <v>356</v>
      </c>
      <c r="B7" s="631" t="s">
        <v>86</v>
      </c>
      <c r="C7" s="635" t="s">
        <v>181</v>
      </c>
      <c r="D7" s="636"/>
      <c r="E7" s="636"/>
      <c r="F7" s="633" t="s">
        <v>182</v>
      </c>
    </row>
    <row r="8" spans="1:6" ht="67.5" customHeight="1" thickBot="1">
      <c r="A8" s="630"/>
      <c r="B8" s="632"/>
      <c r="C8" s="165" t="s">
        <v>178</v>
      </c>
      <c r="D8" s="166" t="s">
        <v>179</v>
      </c>
      <c r="E8" s="202" t="s">
        <v>180</v>
      </c>
      <c r="F8" s="634"/>
    </row>
    <row r="9" spans="1:6" ht="21.75" customHeight="1" thickBot="1" thickTop="1">
      <c r="A9" s="618" t="s">
        <v>252</v>
      </c>
      <c r="B9" s="619"/>
      <c r="C9" s="619"/>
      <c r="D9" s="619"/>
      <c r="E9" s="619"/>
      <c r="F9" s="619"/>
    </row>
    <row r="10" spans="1:6" ht="33.75" customHeight="1" thickTop="1">
      <c r="A10" s="36">
        <v>6</v>
      </c>
      <c r="B10" s="14" t="s">
        <v>231</v>
      </c>
      <c r="C10" s="420">
        <v>321</v>
      </c>
      <c r="D10" s="305"/>
      <c r="E10" s="305"/>
      <c r="F10" s="203">
        <f>C10+D10+E10</f>
        <v>321</v>
      </c>
    </row>
    <row r="11" spans="1:6" ht="30.75" customHeight="1">
      <c r="A11" s="36">
        <v>5</v>
      </c>
      <c r="B11" s="14" t="s">
        <v>230</v>
      </c>
      <c r="C11" s="491">
        <v>0</v>
      </c>
      <c r="D11" s="305"/>
      <c r="E11" s="305"/>
      <c r="F11" s="203">
        <f>C11+D11+E11</f>
        <v>0</v>
      </c>
    </row>
    <row r="12" spans="1:17" ht="15.75">
      <c r="A12" s="36">
        <v>15</v>
      </c>
      <c r="B12" s="14" t="s">
        <v>16</v>
      </c>
      <c r="C12" s="420">
        <v>69</v>
      </c>
      <c r="D12" s="305"/>
      <c r="E12" s="305"/>
      <c r="F12" s="203">
        <f>C12+D12+E12</f>
        <v>69</v>
      </c>
      <c r="Q12" s="126" t="s">
        <v>59</v>
      </c>
    </row>
    <row r="13" spans="1:6" ht="15.75">
      <c r="A13" s="36">
        <v>15</v>
      </c>
      <c r="B13" s="416" t="s">
        <v>293</v>
      </c>
      <c r="C13" s="421">
        <v>7</v>
      </c>
      <c r="D13" s="305"/>
      <c r="E13" s="305"/>
      <c r="F13" s="203">
        <f>C13+D13+E13</f>
        <v>7</v>
      </c>
    </row>
    <row r="14" spans="1:6" ht="15.75">
      <c r="A14" s="36">
        <v>17</v>
      </c>
      <c r="B14" s="14" t="s">
        <v>50</v>
      </c>
      <c r="C14" s="420">
        <v>160</v>
      </c>
      <c r="D14" s="305"/>
      <c r="E14" s="305"/>
      <c r="F14" s="116">
        <f aca="true" t="shared" si="0" ref="F14:F32">C14+D14+E14</f>
        <v>160</v>
      </c>
    </row>
    <row r="15" spans="1:6" ht="18.75" customHeight="1">
      <c r="A15" s="36">
        <v>17</v>
      </c>
      <c r="B15" s="14" t="s">
        <v>53</v>
      </c>
      <c r="C15" s="420">
        <v>41</v>
      </c>
      <c r="D15" s="305"/>
      <c r="E15" s="305"/>
      <c r="F15" s="116">
        <f t="shared" si="0"/>
        <v>41</v>
      </c>
    </row>
    <row r="16" spans="1:6" ht="16.5" thickTop="1">
      <c r="A16" s="36">
        <v>26</v>
      </c>
      <c r="B16" s="16" t="s">
        <v>17</v>
      </c>
      <c r="C16" s="500">
        <v>70</v>
      </c>
      <c r="D16" s="307"/>
      <c r="E16" s="307"/>
      <c r="F16" s="169">
        <f t="shared" si="0"/>
        <v>70</v>
      </c>
    </row>
    <row r="17" spans="1:6" ht="15.75">
      <c r="A17" s="36">
        <v>30</v>
      </c>
      <c r="B17" s="14" t="s">
        <v>72</v>
      </c>
      <c r="C17" s="420">
        <v>0</v>
      </c>
      <c r="D17" s="305"/>
      <c r="E17" s="305"/>
      <c r="F17" s="116">
        <f t="shared" si="0"/>
        <v>0</v>
      </c>
    </row>
    <row r="18" spans="1:6" ht="15.75">
      <c r="A18" s="36">
        <v>30</v>
      </c>
      <c r="B18" s="14" t="s">
        <v>294</v>
      </c>
      <c r="C18" s="420">
        <v>0</v>
      </c>
      <c r="D18" s="305"/>
      <c r="E18" s="305"/>
      <c r="F18" s="116">
        <f t="shared" si="0"/>
        <v>0</v>
      </c>
    </row>
    <row r="19" spans="1:7" ht="15.75">
      <c r="A19" s="36">
        <v>34</v>
      </c>
      <c r="B19" s="14" t="s">
        <v>26</v>
      </c>
      <c r="C19" s="420">
        <v>145</v>
      </c>
      <c r="D19" s="305"/>
      <c r="E19" s="305"/>
      <c r="F19" s="116">
        <f t="shared" si="0"/>
        <v>145</v>
      </c>
      <c r="G19" s="129"/>
    </row>
    <row r="20" spans="1:9" ht="16.5" thickTop="1">
      <c r="A20" s="36">
        <v>41</v>
      </c>
      <c r="B20" s="14" t="s">
        <v>18</v>
      </c>
      <c r="C20" s="420">
        <v>143</v>
      </c>
      <c r="D20" s="305"/>
      <c r="E20" s="305"/>
      <c r="F20" s="116">
        <f t="shared" si="0"/>
        <v>143</v>
      </c>
      <c r="I20" s="67"/>
    </row>
    <row r="21" spans="1:9" ht="16.5" thickTop="1">
      <c r="A21" s="36">
        <v>42</v>
      </c>
      <c r="B21" s="14" t="s">
        <v>82</v>
      </c>
      <c r="C21" s="420">
        <v>170</v>
      </c>
      <c r="D21" s="305"/>
      <c r="E21" s="305"/>
      <c r="F21" s="116">
        <f t="shared" si="0"/>
        <v>170</v>
      </c>
      <c r="I21" s="67"/>
    </row>
    <row r="22" spans="1:9" ht="32.25" thickTop="1">
      <c r="A22" s="36">
        <f>A21</f>
        <v>42</v>
      </c>
      <c r="B22" s="14" t="s">
        <v>83</v>
      </c>
      <c r="C22" s="355">
        <f>36+396+426</f>
        <v>858</v>
      </c>
      <c r="D22" s="305">
        <f>10</f>
        <v>10</v>
      </c>
      <c r="E22" s="305"/>
      <c r="F22" s="116">
        <f t="shared" si="0"/>
        <v>868</v>
      </c>
      <c r="I22" s="67"/>
    </row>
    <row r="23" spans="1:9" ht="32.25" thickTop="1">
      <c r="A23" s="36">
        <f>A21</f>
        <v>42</v>
      </c>
      <c r="B23" s="14" t="s">
        <v>183</v>
      </c>
      <c r="C23" s="420">
        <v>340</v>
      </c>
      <c r="D23" s="305"/>
      <c r="E23" s="305"/>
      <c r="F23" s="116">
        <f t="shared" si="0"/>
        <v>340</v>
      </c>
      <c r="I23" s="67"/>
    </row>
    <row r="24" spans="1:6" ht="16.5" thickTop="1">
      <c r="A24" s="36">
        <v>50</v>
      </c>
      <c r="B24" s="14" t="s">
        <v>357</v>
      </c>
      <c r="C24" s="420">
        <v>150</v>
      </c>
      <c r="D24" s="305"/>
      <c r="E24" s="305"/>
      <c r="F24" s="116">
        <f t="shared" si="0"/>
        <v>150</v>
      </c>
    </row>
    <row r="25" spans="1:6" ht="16.5" thickTop="1">
      <c r="A25" s="36">
        <v>52</v>
      </c>
      <c r="B25" s="14" t="s">
        <v>19</v>
      </c>
      <c r="C25" s="420">
        <v>120</v>
      </c>
      <c r="D25" s="305"/>
      <c r="E25" s="305"/>
      <c r="F25" s="358">
        <f t="shared" si="0"/>
        <v>120</v>
      </c>
    </row>
    <row r="26" spans="1:6" ht="15.75">
      <c r="A26" s="36">
        <v>55</v>
      </c>
      <c r="B26" s="14" t="s">
        <v>24</v>
      </c>
      <c r="C26" s="355">
        <v>135</v>
      </c>
      <c r="D26" s="305">
        <v>30</v>
      </c>
      <c r="E26" s="305">
        <v>76</v>
      </c>
      <c r="F26" s="413">
        <f t="shared" si="0"/>
        <v>241</v>
      </c>
    </row>
    <row r="27" spans="1:6" ht="15.75">
      <c r="A27" s="36">
        <v>65</v>
      </c>
      <c r="B27" s="14" t="s">
        <v>52</v>
      </c>
      <c r="C27" s="355">
        <v>94</v>
      </c>
      <c r="D27" s="305"/>
      <c r="E27" s="305"/>
      <c r="F27" s="436">
        <f t="shared" si="0"/>
        <v>94</v>
      </c>
    </row>
    <row r="28" spans="1:6" ht="15.75">
      <c r="A28" s="36">
        <v>67</v>
      </c>
      <c r="B28" s="14" t="s">
        <v>27</v>
      </c>
      <c r="C28" s="302">
        <v>48</v>
      </c>
      <c r="D28" s="305"/>
      <c r="E28" s="305"/>
      <c r="F28" s="358">
        <f t="shared" si="0"/>
        <v>48</v>
      </c>
    </row>
    <row r="29" spans="1:6" ht="15.75">
      <c r="A29" s="36">
        <v>71</v>
      </c>
      <c r="B29" s="14" t="s">
        <v>21</v>
      </c>
      <c r="C29" s="355">
        <v>473</v>
      </c>
      <c r="D29" s="305">
        <v>439</v>
      </c>
      <c r="E29" s="305">
        <v>130</v>
      </c>
      <c r="F29" s="417">
        <f>C29+D29+E29</f>
        <v>1042</v>
      </c>
    </row>
    <row r="30" spans="1:7" ht="34.5" customHeight="1">
      <c r="A30" s="36">
        <v>74</v>
      </c>
      <c r="B30" s="17" t="s">
        <v>87</v>
      </c>
      <c r="C30" s="420">
        <f>109</f>
        <v>109</v>
      </c>
      <c r="D30" s="305"/>
      <c r="E30" s="305"/>
      <c r="F30" s="358">
        <f t="shared" si="0"/>
        <v>109</v>
      </c>
      <c r="G30" s="129"/>
    </row>
    <row r="31" spans="1:6" ht="16.5" thickTop="1">
      <c r="A31" s="36">
        <v>77</v>
      </c>
      <c r="B31" s="18" t="s">
        <v>49</v>
      </c>
      <c r="C31" s="420">
        <v>110</v>
      </c>
      <c r="D31" s="305"/>
      <c r="E31" s="305"/>
      <c r="F31" s="116">
        <f t="shared" si="0"/>
        <v>110</v>
      </c>
    </row>
    <row r="32" spans="1:7" ht="16.5" thickTop="1">
      <c r="A32" s="36">
        <v>80</v>
      </c>
      <c r="B32" s="18" t="s">
        <v>29</v>
      </c>
      <c r="C32" s="419">
        <f>302</f>
        <v>302</v>
      </c>
      <c r="D32" s="305"/>
      <c r="E32" s="305"/>
      <c r="F32" s="116">
        <f t="shared" si="0"/>
        <v>302</v>
      </c>
      <c r="G32" s="129"/>
    </row>
    <row r="33" spans="1:13" ht="16.5" thickTop="1">
      <c r="A33" s="21"/>
      <c r="B33" s="22" t="s">
        <v>61</v>
      </c>
      <c r="C33" s="422">
        <f>SUM(C10:C32)-C13</f>
        <v>3858</v>
      </c>
      <c r="D33" s="171">
        <f>SUM(D10:D32)-D13</f>
        <v>479</v>
      </c>
      <c r="E33" s="171">
        <f>SUM(E10:E32)-E13</f>
        <v>206</v>
      </c>
      <c r="F33" s="172">
        <f>SUM(F10:F32)-F13</f>
        <v>4543</v>
      </c>
      <c r="G33" s="131"/>
      <c r="H33" s="132"/>
      <c r="I33" s="132"/>
      <c r="J33" s="132"/>
      <c r="K33" s="133"/>
      <c r="L33" s="133"/>
      <c r="M33" s="133"/>
    </row>
    <row r="34" spans="1:13" ht="32.25" thickBot="1">
      <c r="A34" s="27"/>
      <c r="B34" s="158" t="s">
        <v>171</v>
      </c>
      <c r="C34" s="205">
        <f>C22+C21+C23+C13</f>
        <v>1375</v>
      </c>
      <c r="D34" s="205">
        <f>D22+D21+D23</f>
        <v>10</v>
      </c>
      <c r="E34" s="205">
        <f>E22+E21+E23</f>
        <v>0</v>
      </c>
      <c r="F34" s="206">
        <f>C34+D34+E34</f>
        <v>1385</v>
      </c>
      <c r="G34" s="131"/>
      <c r="H34" s="132"/>
      <c r="I34" s="132"/>
      <c r="J34" s="132"/>
      <c r="K34" s="133"/>
      <c r="L34" s="133"/>
      <c r="M34" s="133"/>
    </row>
    <row r="35" spans="1:13" ht="22.5" customHeight="1" hidden="1" thickBot="1" thickTop="1">
      <c r="A35" s="618"/>
      <c r="B35" s="619"/>
      <c r="C35" s="619"/>
      <c r="D35" s="619"/>
      <c r="E35" s="619"/>
      <c r="F35" s="619"/>
      <c r="H35" s="133"/>
      <c r="I35" s="133"/>
      <c r="J35" s="133"/>
      <c r="K35" s="133"/>
      <c r="L35" s="133"/>
      <c r="M35" s="133"/>
    </row>
    <row r="36" spans="1:13" ht="33.75" customHeight="1" hidden="1" thickTop="1">
      <c r="A36" s="24"/>
      <c r="B36" s="25"/>
      <c r="C36" s="24"/>
      <c r="D36" s="173"/>
      <c r="E36" s="173"/>
      <c r="F36" s="174"/>
      <c r="H36" s="133"/>
      <c r="I36" s="133"/>
      <c r="J36" s="133"/>
      <c r="K36" s="133"/>
      <c r="L36" s="133"/>
      <c r="M36" s="133"/>
    </row>
    <row r="37" spans="1:13" ht="33.75" customHeight="1" hidden="1">
      <c r="A37" s="15"/>
      <c r="B37" s="16"/>
      <c r="C37" s="15"/>
      <c r="D37" s="305"/>
      <c r="E37" s="175"/>
      <c r="F37" s="169"/>
      <c r="H37" s="133"/>
      <c r="I37" s="133"/>
      <c r="J37" s="133"/>
      <c r="K37" s="133"/>
      <c r="L37" s="133"/>
      <c r="M37" s="133"/>
    </row>
    <row r="38" spans="1:13" ht="17.25" hidden="1" thickBot="1" thickTop="1">
      <c r="A38" s="26"/>
      <c r="B38" s="14"/>
      <c r="C38" s="20"/>
      <c r="D38" s="8"/>
      <c r="E38" s="8"/>
      <c r="F38" s="116"/>
      <c r="H38" s="133"/>
      <c r="I38" s="133"/>
      <c r="J38" s="133"/>
      <c r="K38" s="133"/>
      <c r="L38" s="133"/>
      <c r="M38" s="133"/>
    </row>
    <row r="39" spans="1:13" ht="17.25" hidden="1" thickBot="1" thickTop="1">
      <c r="A39" s="27"/>
      <c r="B39" s="28"/>
      <c r="C39" s="140"/>
      <c r="D39" s="176"/>
      <c r="E39" s="176"/>
      <c r="F39" s="89"/>
      <c r="K39" s="133"/>
      <c r="L39" s="133"/>
      <c r="M39" s="133"/>
    </row>
    <row r="40" spans="1:13" ht="16.5" hidden="1" thickTop="1">
      <c r="A40" s="27"/>
      <c r="B40" s="158"/>
      <c r="C40" s="204"/>
      <c r="D40" s="205"/>
      <c r="E40" s="205"/>
      <c r="F40" s="206"/>
      <c r="G40" s="131"/>
      <c r="H40" s="132"/>
      <c r="I40" s="132"/>
      <c r="J40" s="132"/>
      <c r="K40" s="133"/>
      <c r="L40" s="133"/>
      <c r="M40" s="133"/>
    </row>
    <row r="41" spans="1:13" ht="17.25" thickBot="1" thickTop="1">
      <c r="A41" s="618" t="s">
        <v>248</v>
      </c>
      <c r="B41" s="619"/>
      <c r="C41" s="619"/>
      <c r="D41" s="619"/>
      <c r="E41" s="619"/>
      <c r="F41" s="619"/>
      <c r="H41" s="133"/>
      <c r="I41" s="133"/>
      <c r="J41" s="133"/>
      <c r="K41" s="133"/>
      <c r="L41" s="133"/>
      <c r="M41" s="133"/>
    </row>
    <row r="42" spans="1:6" ht="16.5" thickTop="1">
      <c r="A42" s="29">
        <v>34</v>
      </c>
      <c r="B42" s="30" t="s">
        <v>31</v>
      </c>
      <c r="C42" s="177">
        <v>66</v>
      </c>
      <c r="D42" s="168"/>
      <c r="E42" s="178"/>
      <c r="F42" s="169">
        <f>C42+D42+E42</f>
        <v>66</v>
      </c>
    </row>
    <row r="43" spans="1:7" ht="16.5" thickTop="1">
      <c r="A43" s="29">
        <v>55</v>
      </c>
      <c r="B43" s="30" t="s">
        <v>24</v>
      </c>
      <c r="C43" s="177">
        <v>170</v>
      </c>
      <c r="D43" s="178"/>
      <c r="E43" s="178"/>
      <c r="F43" s="169">
        <f>C43+D43+E43</f>
        <v>170</v>
      </c>
      <c r="G43" s="129"/>
    </row>
    <row r="44" spans="1:7" ht="16.5" thickTop="1">
      <c r="A44" s="63">
        <v>23</v>
      </c>
      <c r="B44" s="359" t="s">
        <v>22</v>
      </c>
      <c r="C44" s="67">
        <v>30</v>
      </c>
      <c r="D44" s="191"/>
      <c r="E44" s="191"/>
      <c r="F44" s="169">
        <f>C44+D44+E44</f>
        <v>30</v>
      </c>
      <c r="G44" s="129"/>
    </row>
    <row r="45" spans="1:10" ht="17.25" thickBot="1" thickTop="1">
      <c r="A45" s="31"/>
      <c r="B45" s="32" t="s">
        <v>7</v>
      </c>
      <c r="C45" s="142">
        <f>SUM(C42:C44)</f>
        <v>266</v>
      </c>
      <c r="D45" s="176">
        <f>SUM(D42:D44)</f>
        <v>0</v>
      </c>
      <c r="E45" s="176">
        <f>SUM(E42:E44)</f>
        <v>0</v>
      </c>
      <c r="F45" s="89">
        <f>SUM(F42:F44)</f>
        <v>266</v>
      </c>
      <c r="G45" s="131"/>
      <c r="H45" s="131"/>
      <c r="I45" s="131"/>
      <c r="J45" s="131"/>
    </row>
    <row r="46" spans="1:6" ht="17.25" thickBot="1" thickTop="1">
      <c r="A46" s="618" t="s">
        <v>249</v>
      </c>
      <c r="B46" s="619"/>
      <c r="C46" s="619"/>
      <c r="D46" s="619"/>
      <c r="E46" s="619"/>
      <c r="F46" s="619"/>
    </row>
    <row r="47" spans="1:9" s="138" customFormat="1" ht="32.25" thickTop="1">
      <c r="A47" s="35">
        <v>6</v>
      </c>
      <c r="B47" s="30" t="s">
        <v>231</v>
      </c>
      <c r="C47" s="496">
        <v>574</v>
      </c>
      <c r="D47" s="307">
        <v>80</v>
      </c>
      <c r="E47" s="178"/>
      <c r="F47" s="179">
        <f>C47+D47+E47</f>
        <v>654</v>
      </c>
      <c r="G47" s="126"/>
      <c r="H47" s="143"/>
      <c r="I47" s="144"/>
    </row>
    <row r="48" spans="1:9" s="433" customFormat="1" ht="15.75" customHeight="1">
      <c r="A48" s="430">
        <f>A47</f>
        <v>6</v>
      </c>
      <c r="B48" s="431" t="s">
        <v>54</v>
      </c>
      <c r="C48" s="497">
        <v>265</v>
      </c>
      <c r="D48" s="498">
        <v>80</v>
      </c>
      <c r="E48" s="432"/>
      <c r="F48" s="472">
        <f>C48+D48+E48</f>
        <v>345</v>
      </c>
      <c r="H48" s="434"/>
      <c r="I48" s="435"/>
    </row>
    <row r="49" spans="1:9" ht="32.25" thickBot="1">
      <c r="A49" s="36">
        <v>5</v>
      </c>
      <c r="B49" s="14" t="s">
        <v>230</v>
      </c>
      <c r="C49" s="478">
        <v>125</v>
      </c>
      <c r="D49" s="499"/>
      <c r="E49" s="167"/>
      <c r="F49" s="180">
        <f>C49+D49+E49</f>
        <v>125</v>
      </c>
      <c r="I49" s="131"/>
    </row>
    <row r="50" spans="1:10" ht="17.25" thickBot="1" thickTop="1">
      <c r="A50" s="31"/>
      <c r="B50" s="32" t="s">
        <v>7</v>
      </c>
      <c r="C50" s="142">
        <f>SUM(C47:C49)-C48</f>
        <v>699</v>
      </c>
      <c r="D50" s="176">
        <f>SUM(D47:D49)-D48</f>
        <v>80</v>
      </c>
      <c r="E50" s="176">
        <f>SUM(E47:E49)-E48</f>
        <v>0</v>
      </c>
      <c r="F50" s="89">
        <f>SUM(F47:F49)-F48</f>
        <v>779</v>
      </c>
      <c r="G50" s="131"/>
      <c r="H50" s="131"/>
      <c r="I50" s="131"/>
      <c r="J50" s="131"/>
    </row>
    <row r="51" spans="1:6" ht="17.25" hidden="1" thickBot="1" thickTop="1">
      <c r="A51" s="618"/>
      <c r="B51" s="619"/>
      <c r="C51" s="619"/>
      <c r="D51" s="619"/>
      <c r="E51" s="619"/>
      <c r="F51" s="619"/>
    </row>
    <row r="52" spans="1:6" ht="17.25" hidden="1" thickBot="1" thickTop="1">
      <c r="A52" s="42"/>
      <c r="B52" s="43"/>
      <c r="C52" s="146"/>
      <c r="D52" s="207"/>
      <c r="E52" s="207"/>
      <c r="F52" s="182"/>
    </row>
    <row r="53" spans="1:10" ht="17.25" hidden="1" thickBot="1" thickTop="1">
      <c r="A53" s="40"/>
      <c r="B53" s="41"/>
      <c r="C53" s="145"/>
      <c r="D53" s="176"/>
      <c r="E53" s="176"/>
      <c r="F53" s="183"/>
      <c r="H53" s="131"/>
      <c r="I53" s="131"/>
      <c r="J53" s="131"/>
    </row>
    <row r="54" spans="1:13" ht="17.25" thickBot="1" thickTop="1">
      <c r="A54" s="618" t="s">
        <v>251</v>
      </c>
      <c r="B54" s="619"/>
      <c r="C54" s="619"/>
      <c r="D54" s="619"/>
      <c r="E54" s="619"/>
      <c r="F54" s="619"/>
      <c r="H54" s="133"/>
      <c r="I54" s="133"/>
      <c r="J54" s="133"/>
      <c r="K54" s="133"/>
      <c r="L54" s="133"/>
      <c r="M54" s="133"/>
    </row>
    <row r="55" spans="1:13" ht="16.5" thickTop="1">
      <c r="A55" s="29">
        <v>71</v>
      </c>
      <c r="B55" s="44" t="s">
        <v>21</v>
      </c>
      <c r="C55" s="15">
        <v>0</v>
      </c>
      <c r="D55" s="175">
        <v>2325</v>
      </c>
      <c r="E55" s="175">
        <v>130</v>
      </c>
      <c r="F55" s="169">
        <f>C55+D55+E55</f>
        <v>2455</v>
      </c>
      <c r="H55" s="133"/>
      <c r="I55" s="133"/>
      <c r="J55" s="133"/>
      <c r="K55" s="133"/>
      <c r="L55" s="133"/>
      <c r="M55" s="133"/>
    </row>
    <row r="56" spans="1:13" ht="15.75">
      <c r="A56" s="45">
        <v>80</v>
      </c>
      <c r="B56" s="46" t="s">
        <v>29</v>
      </c>
      <c r="C56" s="19">
        <v>0</v>
      </c>
      <c r="D56" s="8">
        <v>152</v>
      </c>
      <c r="E56" s="8">
        <v>18</v>
      </c>
      <c r="F56" s="116">
        <f>C56+D56+E56</f>
        <v>170</v>
      </c>
      <c r="H56" s="133"/>
      <c r="I56" s="133"/>
      <c r="J56" s="133"/>
      <c r="K56" s="133"/>
      <c r="L56" s="133"/>
      <c r="M56" s="133"/>
    </row>
    <row r="57" spans="1:13" ht="15.75">
      <c r="A57" s="36">
        <v>85</v>
      </c>
      <c r="B57" s="37" t="s">
        <v>22</v>
      </c>
      <c r="C57" s="19">
        <v>0</v>
      </c>
      <c r="D57" s="8">
        <v>30</v>
      </c>
      <c r="E57" s="501"/>
      <c r="F57" s="502">
        <f>C57+D57+E57</f>
        <v>30</v>
      </c>
      <c r="H57" s="133"/>
      <c r="I57" s="133"/>
      <c r="J57" s="133"/>
      <c r="K57" s="133"/>
      <c r="L57" s="133"/>
      <c r="M57" s="133"/>
    </row>
    <row r="58" spans="1:13" ht="16.5" thickBot="1">
      <c r="A58" s="63">
        <v>30</v>
      </c>
      <c r="B58" s="359" t="s">
        <v>378</v>
      </c>
      <c r="C58" s="67">
        <v>0</v>
      </c>
      <c r="D58" s="191">
        <v>340</v>
      </c>
      <c r="E58" s="191"/>
      <c r="F58" s="169">
        <f>C58+D58+E58</f>
        <v>340</v>
      </c>
      <c r="H58" s="133"/>
      <c r="I58" s="133"/>
      <c r="J58" s="133"/>
      <c r="K58" s="133"/>
      <c r="L58" s="133"/>
      <c r="M58" s="133"/>
    </row>
    <row r="59" spans="1:13" ht="17.25" thickBot="1" thickTop="1">
      <c r="A59" s="31"/>
      <c r="B59" s="48" t="s">
        <v>7</v>
      </c>
      <c r="C59" s="140">
        <f>SUM(C55:C58)</f>
        <v>0</v>
      </c>
      <c r="D59" s="185">
        <f>SUM(D55:D58)</f>
        <v>2847</v>
      </c>
      <c r="E59" s="185">
        <f>SUM(E55:E58)</f>
        <v>148</v>
      </c>
      <c r="F59" s="185">
        <f>SUM(F55:F58)</f>
        <v>2995</v>
      </c>
      <c r="H59" s="132"/>
      <c r="I59" s="132"/>
      <c r="J59" s="132"/>
      <c r="K59" s="133"/>
      <c r="L59" s="133"/>
      <c r="M59" s="133"/>
    </row>
    <row r="60" spans="1:6" ht="17.25" thickBot="1" thickTop="1">
      <c r="A60" s="618" t="s">
        <v>311</v>
      </c>
      <c r="B60" s="619"/>
      <c r="C60" s="619"/>
      <c r="D60" s="619"/>
      <c r="E60" s="619"/>
      <c r="F60" s="619"/>
    </row>
    <row r="61" spans="1:6" ht="32.25" thickTop="1">
      <c r="A61" s="33">
        <v>6</v>
      </c>
      <c r="B61" s="30" t="s">
        <v>231</v>
      </c>
      <c r="C61" s="478">
        <v>200</v>
      </c>
      <c r="D61" s="186">
        <v>0</v>
      </c>
      <c r="E61" s="186">
        <v>0</v>
      </c>
      <c r="F61" s="169">
        <f aca="true" t="shared" si="1" ref="F61:F67">C61+D61+E61</f>
        <v>200</v>
      </c>
    </row>
    <row r="62" spans="1:7" s="138" customFormat="1" ht="15.75">
      <c r="A62" s="51">
        <v>80</v>
      </c>
      <c r="B62" s="46" t="s">
        <v>29</v>
      </c>
      <c r="C62" s="478">
        <v>110</v>
      </c>
      <c r="D62" s="168">
        <v>0</v>
      </c>
      <c r="E62" s="168">
        <v>0</v>
      </c>
      <c r="F62" s="116">
        <f t="shared" si="1"/>
        <v>110</v>
      </c>
      <c r="G62" s="126"/>
    </row>
    <row r="63" spans="1:7" s="138" customFormat="1" ht="15.75">
      <c r="A63" s="477">
        <v>21</v>
      </c>
      <c r="B63" s="46" t="s">
        <v>232</v>
      </c>
      <c r="C63" s="479">
        <v>30</v>
      </c>
      <c r="D63" s="168"/>
      <c r="E63" s="168"/>
      <c r="F63" s="116">
        <f t="shared" si="1"/>
        <v>30</v>
      </c>
      <c r="G63" s="126"/>
    </row>
    <row r="64" spans="1:7" s="138" customFormat="1" ht="15.75">
      <c r="A64" s="477">
        <v>77</v>
      </c>
      <c r="B64" s="46" t="s">
        <v>49</v>
      </c>
      <c r="C64" s="479">
        <v>0</v>
      </c>
      <c r="D64" s="168">
        <v>0</v>
      </c>
      <c r="E64" s="168">
        <v>0</v>
      </c>
      <c r="F64" s="116">
        <f t="shared" si="1"/>
        <v>0</v>
      </c>
      <c r="G64" s="126"/>
    </row>
    <row r="65" spans="1:7" s="138" customFormat="1" ht="15.75">
      <c r="A65" s="477">
        <v>50</v>
      </c>
      <c r="B65" s="46" t="s">
        <v>357</v>
      </c>
      <c r="C65" s="479">
        <v>30</v>
      </c>
      <c r="D65" s="189"/>
      <c r="E65" s="189"/>
      <c r="F65" s="116">
        <f t="shared" si="1"/>
        <v>30</v>
      </c>
      <c r="G65" s="126"/>
    </row>
    <row r="66" spans="1:6" ht="16.5" thickBot="1">
      <c r="A66" s="38">
        <v>29</v>
      </c>
      <c r="B66" s="52" t="s">
        <v>51</v>
      </c>
      <c r="C66" s="480">
        <v>50</v>
      </c>
      <c r="D66" s="187">
        <v>0</v>
      </c>
      <c r="E66" s="187">
        <v>0</v>
      </c>
      <c r="F66" s="184">
        <f t="shared" si="1"/>
        <v>50</v>
      </c>
    </row>
    <row r="67" spans="1:10" ht="17.25" thickBot="1" thickTop="1">
      <c r="A67" s="446"/>
      <c r="B67" s="48" t="s">
        <v>7</v>
      </c>
      <c r="C67" s="147">
        <f>SUM(C61:C66)</f>
        <v>420</v>
      </c>
      <c r="D67" s="147">
        <f>SUM(D61:D66)</f>
        <v>0</v>
      </c>
      <c r="E67" s="147">
        <f>SUM(E61:E66)</f>
        <v>0</v>
      </c>
      <c r="F67" s="185">
        <f t="shared" si="1"/>
        <v>420</v>
      </c>
      <c r="H67" s="131"/>
      <c r="I67" s="131"/>
      <c r="J67" s="131"/>
    </row>
    <row r="68" spans="1:6" ht="17.25" hidden="1" thickBot="1" thickTop="1">
      <c r="A68" s="618"/>
      <c r="B68" s="619"/>
      <c r="C68" s="619"/>
      <c r="D68" s="619"/>
      <c r="E68" s="619"/>
      <c r="F68" s="619"/>
    </row>
    <row r="69" spans="1:6" ht="16.5" hidden="1" thickTop="1">
      <c r="A69" s="29"/>
      <c r="B69" s="30"/>
      <c r="C69" s="303"/>
      <c r="D69" s="186"/>
      <c r="E69" s="186"/>
      <c r="F69" s="179"/>
    </row>
    <row r="70" spans="1:6" ht="15.75" hidden="1">
      <c r="A70" s="36"/>
      <c r="B70" s="37"/>
      <c r="C70" s="302"/>
      <c r="D70" s="168"/>
      <c r="E70" s="168"/>
      <c r="F70" s="180"/>
    </row>
    <row r="71" spans="1:6" ht="15.75" hidden="1">
      <c r="A71" s="36"/>
      <c r="B71" s="37"/>
      <c r="C71" s="13"/>
      <c r="D71" s="168"/>
      <c r="E71" s="168"/>
      <c r="F71" s="180"/>
    </row>
    <row r="72" spans="1:6" ht="15.75" hidden="1">
      <c r="A72" s="29"/>
      <c r="B72" s="30"/>
      <c r="C72" s="15"/>
      <c r="D72" s="308"/>
      <c r="E72" s="168"/>
      <c r="F72" s="179"/>
    </row>
    <row r="73" spans="1:6" ht="15.75" hidden="1">
      <c r="A73" s="54"/>
      <c r="B73" s="37"/>
      <c r="C73" s="13"/>
      <c r="D73" s="168"/>
      <c r="E73" s="168"/>
      <c r="F73" s="180"/>
    </row>
    <row r="74" spans="1:6" ht="16.5" hidden="1" thickBot="1">
      <c r="A74" s="55"/>
      <c r="B74" s="47"/>
      <c r="C74" s="20"/>
      <c r="D74" s="168"/>
      <c r="E74" s="168"/>
      <c r="F74" s="190"/>
    </row>
    <row r="75" spans="1:10" ht="17.25" hidden="1" thickBot="1" thickTop="1">
      <c r="A75" s="31"/>
      <c r="B75" s="32"/>
      <c r="C75" s="140"/>
      <c r="D75" s="176"/>
      <c r="E75" s="176"/>
      <c r="F75" s="89"/>
      <c r="H75" s="131"/>
      <c r="I75" s="131"/>
      <c r="J75" s="131"/>
    </row>
    <row r="76" spans="1:6" ht="17.25" hidden="1" thickBot="1" thickTop="1">
      <c r="A76" s="618"/>
      <c r="B76" s="619"/>
      <c r="C76" s="619"/>
      <c r="D76" s="619"/>
      <c r="E76" s="619"/>
      <c r="F76" s="619"/>
    </row>
    <row r="77" spans="1:6" ht="16.5" hidden="1" thickTop="1">
      <c r="A77" s="33"/>
      <c r="B77" s="49"/>
      <c r="C77" s="304"/>
      <c r="D77" s="186"/>
      <c r="E77" s="186"/>
      <c r="F77" s="172"/>
    </row>
    <row r="78" spans="1:6" ht="15.75" hidden="1">
      <c r="A78" s="36"/>
      <c r="B78" s="50"/>
      <c r="C78" s="302"/>
      <c r="D78" s="167"/>
      <c r="E78" s="167"/>
      <c r="F78" s="180"/>
    </row>
    <row r="79" spans="1:6" ht="15.75" hidden="1">
      <c r="A79" s="36"/>
      <c r="B79" s="50"/>
      <c r="C79" s="302"/>
      <c r="D79" s="168"/>
      <c r="E79" s="168"/>
      <c r="F79" s="180"/>
    </row>
    <row r="80" spans="1:6" ht="15.75" hidden="1">
      <c r="A80" s="45"/>
      <c r="B80" s="37"/>
      <c r="C80" s="13"/>
      <c r="D80" s="308"/>
      <c r="E80" s="308"/>
      <c r="F80" s="180"/>
    </row>
    <row r="81" spans="1:6" ht="16.5" hidden="1" thickBot="1">
      <c r="A81" s="45"/>
      <c r="B81" s="56"/>
      <c r="C81" s="20"/>
      <c r="D81" s="187"/>
      <c r="E81" s="189"/>
      <c r="F81" s="190"/>
    </row>
    <row r="82" spans="1:10" ht="17.25" hidden="1" thickBot="1" thickTop="1">
      <c r="A82" s="31"/>
      <c r="B82" s="28"/>
      <c r="C82" s="140"/>
      <c r="D82" s="176"/>
      <c r="E82" s="176"/>
      <c r="F82" s="89"/>
      <c r="H82" s="131"/>
      <c r="J82" s="131"/>
    </row>
    <row r="83" spans="1:6" ht="17.25" customHeight="1" hidden="1" thickBot="1" thickTop="1">
      <c r="A83" s="618"/>
      <c r="B83" s="619"/>
      <c r="C83" s="619"/>
      <c r="D83" s="619"/>
      <c r="E83" s="619"/>
      <c r="F83" s="619"/>
    </row>
    <row r="84" spans="1:6" ht="16.5" hidden="1" thickTop="1">
      <c r="A84" s="21"/>
      <c r="B84" s="34"/>
      <c r="C84" s="13"/>
      <c r="D84" s="186"/>
      <c r="E84" s="186"/>
      <c r="F84" s="180"/>
    </row>
    <row r="85" spans="1:6" ht="15.75" hidden="1">
      <c r="A85" s="36"/>
      <c r="B85" s="37"/>
      <c r="C85" s="13"/>
      <c r="D85" s="178"/>
      <c r="E85" s="178"/>
      <c r="F85" s="180"/>
    </row>
    <row r="86" spans="1:6" ht="15.75" hidden="1">
      <c r="A86" s="36"/>
      <c r="B86" s="37"/>
      <c r="C86" s="127"/>
      <c r="D86" s="307"/>
      <c r="E86" s="307"/>
      <c r="F86" s="180"/>
    </row>
    <row r="87" spans="1:6" ht="15.75" hidden="1">
      <c r="A87" s="36"/>
      <c r="B87" s="37"/>
      <c r="C87" s="13"/>
      <c r="D87" s="308"/>
      <c r="E87" s="308"/>
      <c r="F87" s="180"/>
    </row>
    <row r="88" spans="1:6" ht="16.5" hidden="1" thickBot="1">
      <c r="A88" s="55"/>
      <c r="B88" s="47"/>
      <c r="C88" s="60"/>
      <c r="D88" s="187"/>
      <c r="E88" s="187"/>
      <c r="F88" s="188"/>
    </row>
    <row r="89" spans="1:14" ht="17.25" hidden="1" thickBot="1" thickTop="1">
      <c r="A89" s="31"/>
      <c r="B89" s="32"/>
      <c r="C89" s="140"/>
      <c r="D89" s="176"/>
      <c r="E89" s="176"/>
      <c r="F89" s="89"/>
      <c r="H89" s="131"/>
      <c r="J89" s="131"/>
      <c r="M89" s="131"/>
      <c r="N89" s="131"/>
    </row>
    <row r="90" spans="1:6" ht="17.25" hidden="1" thickBot="1" thickTop="1">
      <c r="A90" s="618"/>
      <c r="B90" s="619"/>
      <c r="C90" s="619"/>
      <c r="D90" s="619"/>
      <c r="E90" s="619"/>
      <c r="F90" s="619"/>
    </row>
    <row r="91" spans="1:13" ht="16.5" hidden="1" thickTop="1">
      <c r="A91" s="36"/>
      <c r="B91" s="50"/>
      <c r="C91" s="13"/>
      <c r="D91" s="306"/>
      <c r="E91" s="306"/>
      <c r="F91" s="180"/>
      <c r="H91" s="131"/>
      <c r="I91" s="131"/>
      <c r="J91" s="131"/>
      <c r="K91" s="131"/>
      <c r="L91" s="131"/>
      <c r="M91" s="131"/>
    </row>
    <row r="92" spans="1:6" ht="15.75" hidden="1">
      <c r="A92" s="29"/>
      <c r="B92" s="57"/>
      <c r="C92" s="15"/>
      <c r="D92" s="307"/>
      <c r="E92" s="307"/>
      <c r="F92" s="179"/>
    </row>
    <row r="93" spans="1:6" ht="15.75" hidden="1">
      <c r="A93" s="36"/>
      <c r="B93" s="50"/>
      <c r="C93" s="13"/>
      <c r="D93" s="308"/>
      <c r="E93" s="308"/>
      <c r="F93" s="180"/>
    </row>
    <row r="94" spans="1:12" ht="16.5" hidden="1" thickBot="1">
      <c r="A94" s="38"/>
      <c r="B94" s="52"/>
      <c r="C94" s="60"/>
      <c r="D94" s="187"/>
      <c r="E94" s="187"/>
      <c r="F94" s="188"/>
      <c r="H94" s="131"/>
      <c r="L94" s="131"/>
    </row>
    <row r="95" spans="1:12" ht="17.25" hidden="1" thickBot="1" thickTop="1">
      <c r="A95" s="40"/>
      <c r="B95" s="53"/>
      <c r="C95" s="145"/>
      <c r="D95" s="176"/>
      <c r="E95" s="181"/>
      <c r="F95" s="183"/>
      <c r="H95" s="131"/>
      <c r="I95" s="131"/>
      <c r="J95" s="131"/>
      <c r="K95" s="131"/>
      <c r="L95" s="131"/>
    </row>
    <row r="96" spans="1:6" ht="17.25" hidden="1" thickBot="1" thickTop="1">
      <c r="A96" s="618"/>
      <c r="B96" s="619"/>
      <c r="C96" s="619"/>
      <c r="D96" s="619"/>
      <c r="E96" s="619"/>
      <c r="F96" s="619"/>
    </row>
    <row r="97" spans="1:6" ht="16.5" hidden="1" thickTop="1">
      <c r="A97" s="33"/>
      <c r="B97" s="34"/>
      <c r="C97" s="24"/>
      <c r="D97" s="186"/>
      <c r="E97" s="186"/>
      <c r="F97" s="172"/>
    </row>
    <row r="98" spans="1:6" ht="15.75" hidden="1">
      <c r="A98" s="36"/>
      <c r="B98" s="37"/>
      <c r="C98" s="13"/>
      <c r="D98" s="178"/>
      <c r="E98" s="178"/>
      <c r="F98" s="180"/>
    </row>
    <row r="99" spans="1:6" ht="15.75" hidden="1">
      <c r="A99" s="36"/>
      <c r="B99" s="37"/>
      <c r="C99" s="13"/>
      <c r="D99" s="178"/>
      <c r="E99" s="178"/>
      <c r="F99" s="180"/>
    </row>
    <row r="100" spans="1:6" ht="15.75" hidden="1">
      <c r="A100" s="36"/>
      <c r="B100" s="37"/>
      <c r="C100" s="13"/>
      <c r="D100" s="308"/>
      <c r="E100" s="178"/>
      <c r="F100" s="180"/>
    </row>
    <row r="101" spans="1:6" ht="16.5" hidden="1" thickBot="1">
      <c r="A101" s="45"/>
      <c r="B101" s="47"/>
      <c r="C101" s="60"/>
      <c r="D101" s="187"/>
      <c r="E101" s="187"/>
      <c r="F101" s="188"/>
    </row>
    <row r="102" spans="1:14" ht="17.25" hidden="1" thickBot="1" thickTop="1">
      <c r="A102" s="31"/>
      <c r="B102" s="32"/>
      <c r="C102" s="149"/>
      <c r="D102" s="176"/>
      <c r="E102" s="176"/>
      <c r="F102" s="89"/>
      <c r="H102" s="131"/>
      <c r="I102" s="131"/>
      <c r="J102" s="131"/>
      <c r="M102" s="131"/>
      <c r="N102" s="131"/>
    </row>
    <row r="103" spans="1:6" ht="17.25" hidden="1" thickBot="1" thickTop="1">
      <c r="A103" s="618"/>
      <c r="B103" s="619"/>
      <c r="C103" s="619"/>
      <c r="D103" s="619"/>
      <c r="E103" s="619"/>
      <c r="F103" s="619"/>
    </row>
    <row r="104" spans="1:6" ht="16.5" hidden="1" thickTop="1">
      <c r="A104" s="36"/>
      <c r="B104" s="50"/>
      <c r="C104" s="13"/>
      <c r="D104" s="186"/>
      <c r="E104" s="186"/>
      <c r="F104" s="180"/>
    </row>
    <row r="105" spans="1:6" ht="15.75" hidden="1">
      <c r="A105" s="29"/>
      <c r="B105" s="57"/>
      <c r="C105" s="128"/>
      <c r="D105" s="178"/>
      <c r="E105" s="307"/>
      <c r="F105" s="179"/>
    </row>
    <row r="106" spans="1:6" ht="15.75" hidden="1">
      <c r="A106" s="45"/>
      <c r="B106" s="50"/>
      <c r="C106" s="20"/>
      <c r="D106" s="308"/>
      <c r="E106" s="308"/>
      <c r="F106" s="180"/>
    </row>
    <row r="107" spans="1:6" ht="15.75" hidden="1">
      <c r="A107" s="36"/>
      <c r="B107" s="50"/>
      <c r="C107" s="13"/>
      <c r="D107" s="168"/>
      <c r="E107" s="178"/>
      <c r="F107" s="179"/>
    </row>
    <row r="108" spans="1:6" ht="16.5" hidden="1" thickBot="1">
      <c r="A108" s="60"/>
      <c r="B108" s="61"/>
      <c r="C108" s="60"/>
      <c r="D108" s="187"/>
      <c r="E108" s="191"/>
      <c r="F108" s="192"/>
    </row>
    <row r="109" spans="1:14" ht="17.25" hidden="1" thickBot="1" thickTop="1">
      <c r="A109" s="31"/>
      <c r="B109" s="28"/>
      <c r="C109" s="140"/>
      <c r="D109" s="176"/>
      <c r="E109" s="176"/>
      <c r="F109" s="89"/>
      <c r="H109" s="131"/>
      <c r="I109" s="131"/>
      <c r="J109" s="131"/>
      <c r="M109" s="131"/>
      <c r="N109" s="131"/>
    </row>
    <row r="110" spans="1:14" ht="17.25" hidden="1" thickBot="1" thickTop="1">
      <c r="A110" s="618"/>
      <c r="B110" s="619"/>
      <c r="C110" s="619"/>
      <c r="D110" s="619"/>
      <c r="E110" s="619"/>
      <c r="F110" s="619"/>
      <c r="H110" s="131"/>
      <c r="I110" s="131"/>
      <c r="J110" s="131"/>
      <c r="M110" s="131"/>
      <c r="N110" s="131"/>
    </row>
    <row r="111" spans="1:14" ht="16.5" hidden="1" thickTop="1">
      <c r="A111" s="33"/>
      <c r="B111" s="34"/>
      <c r="C111" s="24"/>
      <c r="D111" s="186"/>
      <c r="E111" s="186"/>
      <c r="F111" s="172"/>
      <c r="H111" s="131"/>
      <c r="I111" s="131"/>
      <c r="J111" s="131"/>
      <c r="M111" s="131"/>
      <c r="N111" s="131"/>
    </row>
    <row r="112" spans="1:14" ht="15.75" hidden="1">
      <c r="A112" s="29"/>
      <c r="B112" s="58"/>
      <c r="C112" s="69"/>
      <c r="D112" s="209"/>
      <c r="E112" s="209"/>
      <c r="F112" s="208"/>
      <c r="H112" s="131"/>
      <c r="I112" s="131"/>
      <c r="J112" s="131"/>
      <c r="M112" s="131"/>
      <c r="N112" s="131"/>
    </row>
    <row r="113" spans="1:14" ht="15.75" hidden="1">
      <c r="A113" s="36"/>
      <c r="B113" s="37"/>
      <c r="C113" s="13"/>
      <c r="D113" s="178"/>
      <c r="E113" s="178"/>
      <c r="F113" s="180"/>
      <c r="H113" s="131"/>
      <c r="I113" s="131"/>
      <c r="J113" s="131"/>
      <c r="M113" s="131"/>
      <c r="N113" s="131"/>
    </row>
    <row r="114" spans="1:14" ht="15.75" hidden="1">
      <c r="A114" s="36"/>
      <c r="B114" s="37"/>
      <c r="C114" s="13"/>
      <c r="D114" s="175"/>
      <c r="E114" s="178"/>
      <c r="F114" s="180"/>
      <c r="H114" s="131"/>
      <c r="I114" s="131"/>
      <c r="J114" s="131"/>
      <c r="M114" s="131"/>
      <c r="N114" s="131"/>
    </row>
    <row r="115" spans="1:14" ht="16.5" hidden="1" thickBot="1">
      <c r="A115" s="45"/>
      <c r="B115" s="47"/>
      <c r="C115" s="60"/>
      <c r="D115" s="187"/>
      <c r="E115" s="187"/>
      <c r="F115" s="188"/>
      <c r="H115" s="131"/>
      <c r="I115" s="131"/>
      <c r="J115" s="131"/>
      <c r="M115" s="131"/>
      <c r="N115" s="131"/>
    </row>
    <row r="116" spans="1:14" ht="17.25" hidden="1" thickBot="1" thickTop="1">
      <c r="A116" s="31"/>
      <c r="B116" s="32"/>
      <c r="C116" s="149"/>
      <c r="D116" s="176"/>
      <c r="E116" s="176"/>
      <c r="F116" s="89"/>
      <c r="H116" s="131"/>
      <c r="I116" s="131"/>
      <c r="J116" s="131"/>
      <c r="M116" s="131"/>
      <c r="N116" s="131"/>
    </row>
    <row r="117" spans="1:10" ht="48" thickTop="1">
      <c r="A117" s="33"/>
      <c r="B117" s="22" t="s">
        <v>310</v>
      </c>
      <c r="C117" s="170">
        <f>C109+C102+C95+C89+C82+C75+C67+C59+C53+C50+C45+C39+C33+C116</f>
        <v>5243</v>
      </c>
      <c r="D117" s="171">
        <f>D109+D102+D95+D89+D82+D75+D67+D59+D53+D50+D45+D39+D33+D116</f>
        <v>3406</v>
      </c>
      <c r="E117" s="171">
        <f>E109+E102+E95+E89+E82+E75+E67+E59+E53+E50+E45+E39+E33+E116</f>
        <v>354</v>
      </c>
      <c r="F117" s="172">
        <f>F109+F102+F95+F89+F82+F75+F67+F59+F53+F50+F45+F39+F33+F116</f>
        <v>9003</v>
      </c>
      <c r="H117" s="131"/>
      <c r="I117" s="131"/>
      <c r="J117" s="131"/>
    </row>
    <row r="118" spans="1:10" ht="32.25" thickBot="1">
      <c r="A118" s="27"/>
      <c r="B118" s="158" t="s">
        <v>171</v>
      </c>
      <c r="C118" s="204">
        <f>C34+C40</f>
        <v>1375</v>
      </c>
      <c r="D118" s="205">
        <f>D34+D40</f>
        <v>10</v>
      </c>
      <c r="E118" s="205">
        <f>E34+E40</f>
        <v>0</v>
      </c>
      <c r="F118" s="206">
        <f>C118+D118+E118</f>
        <v>1385</v>
      </c>
      <c r="H118" s="131"/>
      <c r="I118" s="131"/>
      <c r="J118" s="131"/>
    </row>
    <row r="119" spans="1:6" ht="17.25" thickBot="1" thickTop="1">
      <c r="A119" s="618" t="s">
        <v>254</v>
      </c>
      <c r="B119" s="619"/>
      <c r="C119" s="619"/>
      <c r="D119" s="619"/>
      <c r="E119" s="619"/>
      <c r="F119" s="619"/>
    </row>
    <row r="120" spans="1:8" ht="27" customHeight="1" thickTop="1">
      <c r="A120" s="1">
        <v>8</v>
      </c>
      <c r="B120" s="2" t="s">
        <v>58</v>
      </c>
      <c r="C120" s="193">
        <v>15</v>
      </c>
      <c r="D120" s="168">
        <v>0</v>
      </c>
      <c r="E120" s="191">
        <v>0</v>
      </c>
      <c r="F120" s="192">
        <f>C120+D120+E120</f>
        <v>15</v>
      </c>
      <c r="H120" s="131"/>
    </row>
    <row r="121" spans="1:8" ht="16.5" thickBot="1">
      <c r="A121" s="38"/>
      <c r="B121" s="62" t="s">
        <v>60</v>
      </c>
      <c r="C121" s="194">
        <f>C120</f>
        <v>15</v>
      </c>
      <c r="D121" s="195">
        <f>D120</f>
        <v>0</v>
      </c>
      <c r="E121" s="195">
        <f>E120</f>
        <v>0</v>
      </c>
      <c r="F121" s="184">
        <f>F120</f>
        <v>15</v>
      </c>
      <c r="H121" s="131"/>
    </row>
    <row r="122" spans="1:6" ht="17.25" thickBot="1" thickTop="1">
      <c r="A122" s="618" t="s">
        <v>373</v>
      </c>
      <c r="B122" s="619"/>
      <c r="C122" s="619"/>
      <c r="D122" s="619"/>
      <c r="E122" s="619"/>
      <c r="F122" s="619"/>
    </row>
    <row r="123" spans="1:6" ht="31.5" customHeight="1" thickTop="1">
      <c r="A123" s="8">
        <v>8</v>
      </c>
      <c r="B123" s="2" t="s">
        <v>58</v>
      </c>
      <c r="C123" s="193">
        <v>8</v>
      </c>
      <c r="D123" s="168">
        <v>0</v>
      </c>
      <c r="E123" s="191">
        <v>0</v>
      </c>
      <c r="F123" s="192">
        <f>C123+D123+E123</f>
        <v>8</v>
      </c>
    </row>
    <row r="124" spans="1:6" ht="16.5" thickBot="1">
      <c r="A124" s="38"/>
      <c r="B124" s="62" t="s">
        <v>7</v>
      </c>
      <c r="C124" s="194">
        <f>C123</f>
        <v>8</v>
      </c>
      <c r="D124" s="195">
        <f>D123</f>
        <v>0</v>
      </c>
      <c r="E124" s="195">
        <f>E123</f>
        <v>0</v>
      </c>
      <c r="F124" s="184">
        <f>F123</f>
        <v>8</v>
      </c>
    </row>
    <row r="125" spans="1:6" ht="33.75" customHeight="1" thickBot="1" thickTop="1">
      <c r="A125" s="618" t="s">
        <v>371</v>
      </c>
      <c r="B125" s="619"/>
      <c r="C125" s="619"/>
      <c r="D125" s="619"/>
      <c r="E125" s="619"/>
      <c r="F125" s="619"/>
    </row>
    <row r="126" spans="1:6" ht="16.5" thickTop="1">
      <c r="A126" s="8">
        <v>52</v>
      </c>
      <c r="B126" s="2" t="s">
        <v>2</v>
      </c>
      <c r="C126" s="193">
        <v>6</v>
      </c>
      <c r="D126" s="168">
        <v>0</v>
      </c>
      <c r="E126" s="191">
        <v>0</v>
      </c>
      <c r="F126" s="192">
        <f>C126+D126+E126</f>
        <v>6</v>
      </c>
    </row>
    <row r="127" spans="1:6" ht="16.5" thickBot="1">
      <c r="A127" s="38"/>
      <c r="B127" s="62" t="s">
        <v>7</v>
      </c>
      <c r="C127" s="194">
        <f>C126</f>
        <v>6</v>
      </c>
      <c r="D127" s="195">
        <f>D126</f>
        <v>0</v>
      </c>
      <c r="E127" s="195">
        <f>E126</f>
        <v>0</v>
      </c>
      <c r="F127" s="184">
        <f>F126</f>
        <v>6</v>
      </c>
    </row>
    <row r="128" spans="1:6" ht="32.25" thickTop="1">
      <c r="A128" s="196"/>
      <c r="B128" s="197" t="s">
        <v>184</v>
      </c>
      <c r="C128" s="220">
        <f>C127+C124+C121</f>
        <v>29</v>
      </c>
      <c r="D128" s="199">
        <f>D127+D124+D121</f>
        <v>0</v>
      </c>
      <c r="E128" s="199">
        <f>E127+E124+E121</f>
        <v>0</v>
      </c>
      <c r="F128" s="219">
        <f>C128+D128+E128</f>
        <v>29</v>
      </c>
    </row>
    <row r="129" spans="1:6" ht="15.75">
      <c r="A129" s="221"/>
      <c r="B129" s="214" t="s">
        <v>185</v>
      </c>
      <c r="C129" s="215">
        <f>C120+C123</f>
        <v>23</v>
      </c>
      <c r="D129" s="216">
        <f>D120+D123</f>
        <v>0</v>
      </c>
      <c r="E129" s="216">
        <f>E120+E123</f>
        <v>0</v>
      </c>
      <c r="F129" s="217">
        <f>F120+F123</f>
        <v>23</v>
      </c>
    </row>
    <row r="130" spans="1:6" ht="31.5">
      <c r="A130" s="27"/>
      <c r="B130" s="214" t="s">
        <v>171</v>
      </c>
      <c r="C130" s="215">
        <v>0</v>
      </c>
      <c r="D130" s="216">
        <v>0</v>
      </c>
      <c r="E130" s="216">
        <v>0</v>
      </c>
      <c r="F130" s="217">
        <f>C130+D130+E130</f>
        <v>0</v>
      </c>
    </row>
    <row r="131" spans="1:6" ht="16.5" thickBot="1">
      <c r="A131" s="27"/>
      <c r="B131" s="214" t="s">
        <v>176</v>
      </c>
      <c r="C131" s="215">
        <f>C17+C18+C58</f>
        <v>0</v>
      </c>
      <c r="D131" s="216">
        <f>D17+D18+D58</f>
        <v>340</v>
      </c>
      <c r="E131" s="216">
        <f>E17+E18+E58</f>
        <v>0</v>
      </c>
      <c r="F131" s="217">
        <f>F17+F18+F58</f>
        <v>340</v>
      </c>
    </row>
    <row r="132" spans="1:6" ht="33" customHeight="1" thickBot="1" thickTop="1">
      <c r="A132" s="618" t="s">
        <v>236</v>
      </c>
      <c r="B132" s="619"/>
      <c r="C132" s="619"/>
      <c r="D132" s="619"/>
      <c r="E132" s="619"/>
      <c r="F132" s="619"/>
    </row>
    <row r="133" spans="1:6" ht="79.5" thickTop="1">
      <c r="A133" s="33"/>
      <c r="B133" s="210" t="s">
        <v>187</v>
      </c>
      <c r="C133" s="423">
        <v>446</v>
      </c>
      <c r="D133" s="211">
        <v>0</v>
      </c>
      <c r="E133" s="212">
        <v>0</v>
      </c>
      <c r="F133" s="213">
        <f aca="true" t="shared" si="2" ref="F133:F139">C133+D133+E133</f>
        <v>446</v>
      </c>
    </row>
    <row r="134" spans="1:6" ht="15.75">
      <c r="A134" s="221"/>
      <c r="B134" s="214" t="s">
        <v>185</v>
      </c>
      <c r="C134" s="424">
        <v>66</v>
      </c>
      <c r="D134" s="216">
        <v>0</v>
      </c>
      <c r="E134" s="216">
        <v>0</v>
      </c>
      <c r="F134" s="217">
        <f t="shared" si="2"/>
        <v>66</v>
      </c>
    </row>
    <row r="135" spans="1:6" ht="31.5">
      <c r="A135" s="54"/>
      <c r="B135" s="214" t="s">
        <v>171</v>
      </c>
      <c r="C135" s="424">
        <v>28</v>
      </c>
      <c r="D135" s="216">
        <v>0</v>
      </c>
      <c r="E135" s="216">
        <v>0</v>
      </c>
      <c r="F135" s="217">
        <f t="shared" si="2"/>
        <v>28</v>
      </c>
    </row>
    <row r="136" spans="1:6" ht="16.5" thickBot="1">
      <c r="A136" s="27"/>
      <c r="B136" s="214" t="s">
        <v>176</v>
      </c>
      <c r="C136" s="424">
        <v>10</v>
      </c>
      <c r="D136" s="216">
        <v>0</v>
      </c>
      <c r="E136" s="216">
        <v>0</v>
      </c>
      <c r="F136" s="217">
        <f t="shared" si="2"/>
        <v>10</v>
      </c>
    </row>
    <row r="137" spans="1:10" ht="58.5" customHeight="1" thickTop="1">
      <c r="A137" s="196"/>
      <c r="B137" s="218" t="s">
        <v>186</v>
      </c>
      <c r="C137" s="198">
        <f>C133+C128+C117</f>
        <v>5718</v>
      </c>
      <c r="D137" s="199">
        <f>D133+D128+D117</f>
        <v>3406</v>
      </c>
      <c r="E137" s="199">
        <f>E133+E128+E117</f>
        <v>354</v>
      </c>
      <c r="F137" s="219">
        <f t="shared" si="2"/>
        <v>9478</v>
      </c>
      <c r="G137" s="200">
        <f>9128+350</f>
        <v>9478</v>
      </c>
      <c r="H137" s="200">
        <f>G137-F137</f>
        <v>0</v>
      </c>
      <c r="I137" s="131">
        <f>F33+F45+F50+F59+F67+F121+F124+F127+F133</f>
        <v>9478</v>
      </c>
      <c r="J137" s="131"/>
    </row>
    <row r="138" spans="1:10" ht="18" customHeight="1">
      <c r="A138" s="221"/>
      <c r="B138" s="214" t="s">
        <v>185</v>
      </c>
      <c r="C138" s="215">
        <f>C134+C129</f>
        <v>89</v>
      </c>
      <c r="D138" s="216">
        <f>D134+D129</f>
        <v>0</v>
      </c>
      <c r="E138" s="216">
        <f>E134+E129</f>
        <v>0</v>
      </c>
      <c r="F138" s="217">
        <f t="shared" si="2"/>
        <v>89</v>
      </c>
      <c r="G138" s="200">
        <v>89</v>
      </c>
      <c r="H138" s="200">
        <f>G138-F138</f>
        <v>0</v>
      </c>
      <c r="I138" s="131"/>
      <c r="J138" s="131"/>
    </row>
    <row r="139" spans="1:10" s="154" customFormat="1" ht="31.5">
      <c r="A139" s="54"/>
      <c r="B139" s="214" t="s">
        <v>171</v>
      </c>
      <c r="C139" s="215">
        <f>C130+C118+C135</f>
        <v>1403</v>
      </c>
      <c r="D139" s="216">
        <f>D130+D118+D135</f>
        <v>10</v>
      </c>
      <c r="E139" s="216">
        <f>E130+E118+E135</f>
        <v>0</v>
      </c>
      <c r="F139" s="217">
        <f t="shared" si="2"/>
        <v>1413</v>
      </c>
      <c r="G139" s="65">
        <v>1413</v>
      </c>
      <c r="H139" s="153">
        <f>G139-F139</f>
        <v>0</v>
      </c>
      <c r="J139" s="131"/>
    </row>
    <row r="140" spans="1:8" ht="15.75">
      <c r="A140" s="27"/>
      <c r="B140" s="214" t="s">
        <v>176</v>
      </c>
      <c r="C140" s="215">
        <f>C136+C131</f>
        <v>10</v>
      </c>
      <c r="D140" s="216">
        <f>D136+D131</f>
        <v>340</v>
      </c>
      <c r="E140" s="216">
        <f>E136+E131</f>
        <v>0</v>
      </c>
      <c r="F140" s="217">
        <f>F136+F131</f>
        <v>350</v>
      </c>
      <c r="G140" s="65">
        <v>350</v>
      </c>
      <c r="H140" s="295">
        <f>G140-F140</f>
        <v>0</v>
      </c>
    </row>
    <row r="141" spans="1:7" s="154" customFormat="1" ht="15.75">
      <c r="A141" s="65"/>
      <c r="B141" s="9" t="s">
        <v>62</v>
      </c>
      <c r="C141" s="168">
        <v>0</v>
      </c>
      <c r="D141" s="168">
        <v>0</v>
      </c>
      <c r="E141" s="168">
        <v>0</v>
      </c>
      <c r="F141" s="168">
        <v>0</v>
      </c>
      <c r="G141" s="65"/>
    </row>
    <row r="142" spans="1:8" ht="15.75">
      <c r="A142" s="67"/>
      <c r="B142" s="9" t="s">
        <v>233</v>
      </c>
      <c r="C142" s="168">
        <f>C10+C11+C47+C49+C120+C61+C123</f>
        <v>1243</v>
      </c>
      <c r="D142" s="168">
        <f>D10+D11+D47+D49+D120+D61+D123</f>
        <v>80</v>
      </c>
      <c r="E142" s="168">
        <f>E10+E11+E47+E49+E120+E61+E123</f>
        <v>0</v>
      </c>
      <c r="F142" s="168">
        <f>F10+F11+F47+F49+F120+F61+F123</f>
        <v>1323</v>
      </c>
      <c r="G142" s="65"/>
      <c r="H142" s="301">
        <f>SUM(C142:E142)-F142</f>
        <v>0</v>
      </c>
    </row>
    <row r="143" spans="1:8" ht="15.75">
      <c r="A143" s="67"/>
      <c r="B143" s="9" t="s">
        <v>15</v>
      </c>
      <c r="C143" s="168">
        <f>0</f>
        <v>0</v>
      </c>
      <c r="D143" s="168">
        <f>0</f>
        <v>0</v>
      </c>
      <c r="E143" s="168">
        <f>0</f>
        <v>0</v>
      </c>
      <c r="F143" s="168">
        <f>0</f>
        <v>0</v>
      </c>
      <c r="G143" s="65"/>
      <c r="H143" s="301">
        <f aca="true" t="shared" si="3" ref="H143:H168">SUM(C143:E143)-F143</f>
        <v>0</v>
      </c>
    </row>
    <row r="144" spans="1:8" ht="15.75">
      <c r="A144" s="67"/>
      <c r="B144" s="9" t="s">
        <v>16</v>
      </c>
      <c r="C144" s="168">
        <f>C12</f>
        <v>69</v>
      </c>
      <c r="D144" s="168">
        <f>D12</f>
        <v>0</v>
      </c>
      <c r="E144" s="168">
        <f>E12</f>
        <v>0</v>
      </c>
      <c r="F144" s="168">
        <f>F12</f>
        <v>69</v>
      </c>
      <c r="G144" s="65"/>
      <c r="H144" s="301">
        <f t="shared" si="3"/>
        <v>0</v>
      </c>
    </row>
    <row r="145" spans="1:8" ht="15.75">
      <c r="A145" s="68"/>
      <c r="B145" s="9" t="s">
        <v>85</v>
      </c>
      <c r="C145" s="168">
        <f>0</f>
        <v>0</v>
      </c>
      <c r="D145" s="168">
        <f>0</f>
        <v>0</v>
      </c>
      <c r="E145" s="168">
        <f>0</f>
        <v>0</v>
      </c>
      <c r="F145" s="168">
        <f>0</f>
        <v>0</v>
      </c>
      <c r="H145" s="301">
        <f t="shared" si="3"/>
        <v>0</v>
      </c>
    </row>
    <row r="146" spans="1:8" ht="15.75">
      <c r="A146" s="67"/>
      <c r="B146" s="9" t="s">
        <v>50</v>
      </c>
      <c r="C146" s="168">
        <f>C14+C15</f>
        <v>201</v>
      </c>
      <c r="D146" s="168">
        <f>D14+D15</f>
        <v>0</v>
      </c>
      <c r="E146" s="168">
        <f>E14+E15</f>
        <v>0</v>
      </c>
      <c r="F146" s="168">
        <f>F14+F15</f>
        <v>201</v>
      </c>
      <c r="H146" s="301">
        <f t="shared" si="3"/>
        <v>0</v>
      </c>
    </row>
    <row r="147" spans="1:8" ht="15.75">
      <c r="A147" s="68"/>
      <c r="B147" s="9" t="s">
        <v>28</v>
      </c>
      <c r="C147" s="168">
        <f>0</f>
        <v>0</v>
      </c>
      <c r="D147" s="168">
        <f>0</f>
        <v>0</v>
      </c>
      <c r="E147" s="168">
        <f>0</f>
        <v>0</v>
      </c>
      <c r="F147" s="168">
        <f>0</f>
        <v>0</v>
      </c>
      <c r="H147" s="301">
        <f t="shared" si="3"/>
        <v>0</v>
      </c>
    </row>
    <row r="148" spans="1:8" ht="15.75">
      <c r="A148" s="155"/>
      <c r="B148" s="9" t="s">
        <v>17</v>
      </c>
      <c r="C148" s="168">
        <f>C16</f>
        <v>70</v>
      </c>
      <c r="D148" s="168">
        <f>D16</f>
        <v>0</v>
      </c>
      <c r="E148" s="168">
        <f>E16</f>
        <v>0</v>
      </c>
      <c r="F148" s="168">
        <f>F16</f>
        <v>70</v>
      </c>
      <c r="H148" s="301">
        <f t="shared" si="3"/>
        <v>0</v>
      </c>
    </row>
    <row r="149" spans="1:8" ht="15.75">
      <c r="A149" s="155"/>
      <c r="B149" s="9" t="s">
        <v>64</v>
      </c>
      <c r="C149" s="168">
        <f>C66</f>
        <v>50</v>
      </c>
      <c r="D149" s="168">
        <f>D66</f>
        <v>0</v>
      </c>
      <c r="E149" s="168">
        <f>E66</f>
        <v>0</v>
      </c>
      <c r="F149" s="168">
        <f>F66</f>
        <v>50</v>
      </c>
      <c r="H149" s="301">
        <f t="shared" si="3"/>
        <v>0</v>
      </c>
    </row>
    <row r="150" spans="1:8" ht="15.75">
      <c r="A150" s="155"/>
      <c r="B150" s="9" t="s">
        <v>72</v>
      </c>
      <c r="C150" s="168">
        <f>C17+C18+C58</f>
        <v>0</v>
      </c>
      <c r="D150" s="168">
        <f>D17+D18+D58</f>
        <v>340</v>
      </c>
      <c r="E150" s="168">
        <f>E17+E18+E58</f>
        <v>0</v>
      </c>
      <c r="F150" s="168">
        <f>F17+F18+F58</f>
        <v>340</v>
      </c>
      <c r="H150" s="301">
        <f t="shared" si="3"/>
        <v>0</v>
      </c>
    </row>
    <row r="151" spans="1:8" ht="15.75">
      <c r="A151" s="155"/>
      <c r="B151" s="9" t="s">
        <v>26</v>
      </c>
      <c r="C151" s="168">
        <f>C19+C42</f>
        <v>211</v>
      </c>
      <c r="D151" s="168">
        <f>D19+D42</f>
        <v>0</v>
      </c>
      <c r="E151" s="168">
        <f>E19+E42</f>
        <v>0</v>
      </c>
      <c r="F151" s="168">
        <f>F19+F42</f>
        <v>211</v>
      </c>
      <c r="H151" s="301">
        <f t="shared" si="3"/>
        <v>0</v>
      </c>
    </row>
    <row r="152" spans="1:8" ht="15.75">
      <c r="A152" s="155"/>
      <c r="B152" s="9" t="s">
        <v>37</v>
      </c>
      <c r="C152" s="168">
        <f>0</f>
        <v>0</v>
      </c>
      <c r="D152" s="168">
        <f>0</f>
        <v>0</v>
      </c>
      <c r="E152" s="168">
        <f>0</f>
        <v>0</v>
      </c>
      <c r="F152" s="168">
        <f>0</f>
        <v>0</v>
      </c>
      <c r="H152" s="301">
        <f t="shared" si="3"/>
        <v>0</v>
      </c>
    </row>
    <row r="153" spans="1:8" ht="15.75">
      <c r="A153" s="155"/>
      <c r="B153" s="9" t="s">
        <v>18</v>
      </c>
      <c r="C153" s="168">
        <f>C20</f>
        <v>143</v>
      </c>
      <c r="D153" s="168">
        <f>D20</f>
        <v>0</v>
      </c>
      <c r="E153" s="168">
        <f>E20</f>
        <v>0</v>
      </c>
      <c r="F153" s="168">
        <f>F20</f>
        <v>143</v>
      </c>
      <c r="H153" s="301">
        <f t="shared" si="3"/>
        <v>0</v>
      </c>
    </row>
    <row r="154" spans="1:8" ht="15.75">
      <c r="A154" s="155"/>
      <c r="B154" s="9" t="s">
        <v>67</v>
      </c>
      <c r="C154" s="168">
        <v>0</v>
      </c>
      <c r="D154" s="168">
        <v>0</v>
      </c>
      <c r="E154" s="168">
        <v>0</v>
      </c>
      <c r="F154" s="168">
        <v>0</v>
      </c>
      <c r="H154" s="301">
        <f t="shared" si="3"/>
        <v>0</v>
      </c>
    </row>
    <row r="155" spans="1:8" ht="15.75">
      <c r="A155" s="155"/>
      <c r="B155" s="9" t="s">
        <v>234</v>
      </c>
      <c r="C155" s="168">
        <f>C21+C22+C23</f>
        <v>1368</v>
      </c>
      <c r="D155" s="168">
        <f>D21+D22+D23</f>
        <v>10</v>
      </c>
      <c r="E155" s="168">
        <f>E21+E22+E23</f>
        <v>0</v>
      </c>
      <c r="F155" s="168">
        <f>F21+F22+F23</f>
        <v>1378</v>
      </c>
      <c r="H155" s="301">
        <f t="shared" si="3"/>
        <v>0</v>
      </c>
    </row>
    <row r="156" spans="1:8" ht="15.75">
      <c r="A156" s="155"/>
      <c r="B156" s="9" t="s">
        <v>357</v>
      </c>
      <c r="C156" s="168">
        <f>C24+C65</f>
        <v>180</v>
      </c>
      <c r="D156" s="168">
        <f>D24+D65</f>
        <v>0</v>
      </c>
      <c r="E156" s="168">
        <f>E24+E65</f>
        <v>0</v>
      </c>
      <c r="F156" s="168">
        <f>F24+F65</f>
        <v>180</v>
      </c>
      <c r="H156" s="301">
        <f t="shared" si="3"/>
        <v>0</v>
      </c>
    </row>
    <row r="157" spans="1:8" ht="15.75">
      <c r="A157" s="155"/>
      <c r="B157" s="9" t="s">
        <v>19</v>
      </c>
      <c r="C157" s="168">
        <f>C25+C126</f>
        <v>126</v>
      </c>
      <c r="D157" s="168">
        <f>D25+D126</f>
        <v>0</v>
      </c>
      <c r="E157" s="168">
        <f>E25+E126</f>
        <v>0</v>
      </c>
      <c r="F157" s="168">
        <f>F25+F126</f>
        <v>126</v>
      </c>
      <c r="H157" s="301">
        <f t="shared" si="3"/>
        <v>0</v>
      </c>
    </row>
    <row r="158" spans="1:8" ht="15.75">
      <c r="A158" s="156"/>
      <c r="B158" s="9" t="s">
        <v>24</v>
      </c>
      <c r="C158" s="168">
        <f>C26+C43</f>
        <v>305</v>
      </c>
      <c r="D158" s="168">
        <f>D26+D43</f>
        <v>30</v>
      </c>
      <c r="E158" s="168">
        <f>E26+E43</f>
        <v>76</v>
      </c>
      <c r="F158" s="168">
        <f>F26+F43</f>
        <v>411</v>
      </c>
      <c r="H158" s="301">
        <f t="shared" si="3"/>
        <v>0</v>
      </c>
    </row>
    <row r="159" spans="1:8" ht="15.75">
      <c r="A159" s="156"/>
      <c r="B159" s="9" t="s">
        <v>20</v>
      </c>
      <c r="C159" s="168">
        <v>0</v>
      </c>
      <c r="D159" s="168">
        <v>0</v>
      </c>
      <c r="E159" s="168">
        <v>0</v>
      </c>
      <c r="F159" s="168">
        <v>0</v>
      </c>
      <c r="H159" s="301">
        <f t="shared" si="3"/>
        <v>0</v>
      </c>
    </row>
    <row r="160" spans="1:8" ht="15.75">
      <c r="A160" s="156"/>
      <c r="B160" s="9" t="s">
        <v>52</v>
      </c>
      <c r="C160" s="168">
        <f aca="true" t="shared" si="4" ref="C160:F161">C27</f>
        <v>94</v>
      </c>
      <c r="D160" s="168">
        <f t="shared" si="4"/>
        <v>0</v>
      </c>
      <c r="E160" s="168">
        <f t="shared" si="4"/>
        <v>0</v>
      </c>
      <c r="F160" s="168">
        <f t="shared" si="4"/>
        <v>94</v>
      </c>
      <c r="H160" s="301">
        <f t="shared" si="3"/>
        <v>0</v>
      </c>
    </row>
    <row r="161" spans="1:8" ht="15.75">
      <c r="A161" s="156"/>
      <c r="B161" s="9" t="s">
        <v>27</v>
      </c>
      <c r="C161" s="168">
        <f t="shared" si="4"/>
        <v>48</v>
      </c>
      <c r="D161" s="168">
        <f t="shared" si="4"/>
        <v>0</v>
      </c>
      <c r="E161" s="168">
        <f t="shared" si="4"/>
        <v>0</v>
      </c>
      <c r="F161" s="168">
        <f t="shared" si="4"/>
        <v>48</v>
      </c>
      <c r="H161" s="301">
        <f t="shared" si="3"/>
        <v>0</v>
      </c>
    </row>
    <row r="162" spans="1:8" ht="15.75">
      <c r="A162" s="156"/>
      <c r="B162" s="9" t="s">
        <v>21</v>
      </c>
      <c r="C162" s="168">
        <f>C29+C55</f>
        <v>473</v>
      </c>
      <c r="D162" s="168">
        <f>D29+D55</f>
        <v>2764</v>
      </c>
      <c r="E162" s="168">
        <f>E29+E55</f>
        <v>260</v>
      </c>
      <c r="F162" s="168">
        <f>F29+F55</f>
        <v>3497</v>
      </c>
      <c r="H162" s="301">
        <f t="shared" si="3"/>
        <v>0</v>
      </c>
    </row>
    <row r="163" spans="1:8" ht="15.75">
      <c r="A163" s="156"/>
      <c r="B163" s="9" t="s">
        <v>68</v>
      </c>
      <c r="C163" s="168">
        <f>C30</f>
        <v>109</v>
      </c>
      <c r="D163" s="168">
        <f>D30</f>
        <v>0</v>
      </c>
      <c r="E163" s="168">
        <f>E30</f>
        <v>0</v>
      </c>
      <c r="F163" s="168">
        <f>F30</f>
        <v>109</v>
      </c>
      <c r="H163" s="301">
        <f t="shared" si="3"/>
        <v>0</v>
      </c>
    </row>
    <row r="164" spans="1:8" ht="15.75">
      <c r="A164" s="156"/>
      <c r="B164" s="9" t="s">
        <v>49</v>
      </c>
      <c r="C164" s="168">
        <f>C31+C64+C63</f>
        <v>140</v>
      </c>
      <c r="D164" s="168">
        <f>D31+D64+D63</f>
        <v>0</v>
      </c>
      <c r="E164" s="168">
        <f>E31+E64+E63</f>
        <v>0</v>
      </c>
      <c r="F164" s="168">
        <f>F31+F64+F63</f>
        <v>140</v>
      </c>
      <c r="H164" s="301">
        <f t="shared" si="3"/>
        <v>0</v>
      </c>
    </row>
    <row r="165" spans="1:8" ht="15.75">
      <c r="A165" s="156"/>
      <c r="B165" s="9" t="s">
        <v>29</v>
      </c>
      <c r="C165" s="168">
        <f>C32+C56+C62</f>
        <v>412</v>
      </c>
      <c r="D165" s="168">
        <f>D32+D56+D62</f>
        <v>152</v>
      </c>
      <c r="E165" s="168">
        <f>E32+E56+E62</f>
        <v>18</v>
      </c>
      <c r="F165" s="168">
        <f>F32+F56+F62</f>
        <v>582</v>
      </c>
      <c r="H165" s="301">
        <f t="shared" si="3"/>
        <v>0</v>
      </c>
    </row>
    <row r="166" spans="1:8" ht="15.75">
      <c r="A166" s="156"/>
      <c r="B166" s="9" t="s">
        <v>69</v>
      </c>
      <c r="C166" s="168">
        <v>0</v>
      </c>
      <c r="D166" s="168">
        <v>0</v>
      </c>
      <c r="E166" s="168">
        <v>0</v>
      </c>
      <c r="F166" s="168">
        <v>0</v>
      </c>
      <c r="H166" s="301">
        <f t="shared" si="3"/>
        <v>0</v>
      </c>
    </row>
    <row r="167" spans="1:8" ht="15.75">
      <c r="A167" s="156"/>
      <c r="B167" s="9" t="s">
        <v>39</v>
      </c>
      <c r="C167" s="168">
        <v>0</v>
      </c>
      <c r="D167" s="168">
        <v>0</v>
      </c>
      <c r="E167" s="168">
        <v>0</v>
      </c>
      <c r="F167" s="168">
        <v>0</v>
      </c>
      <c r="H167" s="301">
        <f t="shared" si="3"/>
        <v>0</v>
      </c>
    </row>
    <row r="168" spans="1:8" ht="15.75">
      <c r="A168" s="156"/>
      <c r="B168" s="9" t="s">
        <v>22</v>
      </c>
      <c r="C168" s="168">
        <f>C57+C44</f>
        <v>30</v>
      </c>
      <c r="D168" s="168">
        <f>D57+D44</f>
        <v>30</v>
      </c>
      <c r="E168" s="168">
        <f>E57+E44</f>
        <v>0</v>
      </c>
      <c r="F168" s="168">
        <f>F57+F44</f>
        <v>60</v>
      </c>
      <c r="H168" s="301">
        <f t="shared" si="3"/>
        <v>0</v>
      </c>
    </row>
    <row r="169" spans="1:8" ht="31.5">
      <c r="A169" s="156"/>
      <c r="B169" s="112" t="s">
        <v>235</v>
      </c>
      <c r="C169" s="203">
        <f>SUM(C141:C168)</f>
        <v>5272</v>
      </c>
      <c r="D169" s="203">
        <f>SUM(D141:D168)</f>
        <v>3406</v>
      </c>
      <c r="E169" s="203">
        <f>SUM(E141:E168)</f>
        <v>354</v>
      </c>
      <c r="F169" s="203">
        <f>SUM(F141:F168)</f>
        <v>9032</v>
      </c>
      <c r="G169" s="295"/>
      <c r="H169" s="295"/>
    </row>
    <row r="170" spans="1:8" ht="15.75">
      <c r="A170" s="156"/>
      <c r="B170" s="156"/>
      <c r="C170" s="429">
        <f>C137-C133</f>
        <v>5272</v>
      </c>
      <c r="D170" s="429">
        <f>D137-D133</f>
        <v>3406</v>
      </c>
      <c r="E170" s="429">
        <f>E137-E133</f>
        <v>354</v>
      </c>
      <c r="F170" s="429">
        <f>F137-F133</f>
        <v>9032</v>
      </c>
      <c r="G170" s="453">
        <f>F137-F133</f>
        <v>9032</v>
      </c>
      <c r="H170" s="453">
        <f>G170-F170</f>
        <v>0</v>
      </c>
    </row>
    <row r="171" spans="1:6" ht="15">
      <c r="A171" s="156"/>
      <c r="B171" s="156"/>
      <c r="C171" s="429">
        <f>C170-C169</f>
        <v>0</v>
      </c>
      <c r="D171" s="429">
        <f>D170-D169</f>
        <v>0</v>
      </c>
      <c r="E171" s="429">
        <f>E170-E169</f>
        <v>0</v>
      </c>
      <c r="F171" s="429">
        <f>F170-F169</f>
        <v>0</v>
      </c>
    </row>
    <row r="172" spans="1:6" ht="15.75">
      <c r="A172" s="156"/>
      <c r="B172" s="156"/>
      <c r="C172" s="156"/>
      <c r="D172" s="156"/>
      <c r="E172" s="156"/>
      <c r="F172" s="201"/>
    </row>
    <row r="173" spans="1:6" ht="15.75">
      <c r="A173" s="156"/>
      <c r="B173" s="156"/>
      <c r="C173" s="156"/>
      <c r="D173" s="156"/>
      <c r="E173" s="156"/>
      <c r="F173" s="201"/>
    </row>
    <row r="174" spans="1:6" ht="15.75">
      <c r="A174" s="156"/>
      <c r="B174" s="156"/>
      <c r="C174" s="156"/>
      <c r="D174" s="156"/>
      <c r="E174" s="156"/>
      <c r="F174" s="201"/>
    </row>
    <row r="175" spans="1:6" ht="15.75">
      <c r="A175" s="156"/>
      <c r="B175" s="156"/>
      <c r="C175" s="156"/>
      <c r="D175" s="156"/>
      <c r="E175" s="156"/>
      <c r="F175" s="201"/>
    </row>
    <row r="176" spans="1:6" ht="15.75">
      <c r="A176" s="156"/>
      <c r="B176" s="156"/>
      <c r="C176" s="156"/>
      <c r="D176" s="156"/>
      <c r="E176" s="156"/>
      <c r="F176" s="201"/>
    </row>
    <row r="177" spans="1:6" ht="15.75">
      <c r="A177" s="156"/>
      <c r="B177" s="156"/>
      <c r="C177" s="156"/>
      <c r="D177" s="156"/>
      <c r="E177" s="156"/>
      <c r="F177" s="201"/>
    </row>
    <row r="178" spans="1:6" ht="15.75">
      <c r="A178" s="156"/>
      <c r="B178" s="156"/>
      <c r="C178" s="156"/>
      <c r="D178" s="156"/>
      <c r="E178" s="156"/>
      <c r="F178" s="201"/>
    </row>
    <row r="179" spans="1:6" ht="15.75">
      <c r="A179" s="156"/>
      <c r="B179" s="156"/>
      <c r="C179" s="156"/>
      <c r="D179" s="156"/>
      <c r="E179" s="156"/>
      <c r="F179" s="201"/>
    </row>
    <row r="180" spans="1:6" ht="15.75">
      <c r="A180" s="156"/>
      <c r="B180" s="156"/>
      <c r="C180" s="156"/>
      <c r="D180" s="156"/>
      <c r="E180" s="156"/>
      <c r="F180" s="201"/>
    </row>
    <row r="181" spans="1:6" ht="15.75">
      <c r="A181" s="156"/>
      <c r="B181" s="156"/>
      <c r="C181" s="156"/>
      <c r="D181" s="156"/>
      <c r="E181" s="156"/>
      <c r="F181" s="201"/>
    </row>
    <row r="182" spans="1:6" ht="15.75">
      <c r="A182" s="156"/>
      <c r="B182" s="156"/>
      <c r="C182" s="156"/>
      <c r="D182" s="156"/>
      <c r="E182" s="156"/>
      <c r="F182" s="201"/>
    </row>
    <row r="183" spans="1:6" ht="15.75">
      <c r="A183" s="156"/>
      <c r="B183" s="156"/>
      <c r="C183" s="156"/>
      <c r="D183" s="156"/>
      <c r="E183" s="156"/>
      <c r="F183" s="201"/>
    </row>
    <row r="184" spans="1:6" ht="15.75">
      <c r="A184" s="156"/>
      <c r="B184" s="156"/>
      <c r="C184" s="156"/>
      <c r="D184" s="156"/>
      <c r="E184" s="156"/>
      <c r="F184" s="201"/>
    </row>
    <row r="185" spans="1:6" ht="15.75">
      <c r="A185" s="156"/>
      <c r="B185" s="156"/>
      <c r="C185" s="156"/>
      <c r="D185" s="156"/>
      <c r="E185" s="156"/>
      <c r="F185" s="201"/>
    </row>
    <row r="186" spans="1:6" ht="15.75">
      <c r="A186" s="156"/>
      <c r="B186" s="156"/>
      <c r="C186" s="156"/>
      <c r="D186" s="156"/>
      <c r="E186" s="156"/>
      <c r="F186" s="201"/>
    </row>
    <row r="187" spans="1:6" ht="15.75">
      <c r="A187" s="156"/>
      <c r="B187" s="156"/>
      <c r="C187" s="156"/>
      <c r="D187" s="156"/>
      <c r="E187" s="156"/>
      <c r="F187" s="201"/>
    </row>
    <row r="188" spans="1:6" ht="15.75">
      <c r="A188" s="156"/>
      <c r="B188" s="156"/>
      <c r="C188" s="156"/>
      <c r="D188" s="156"/>
      <c r="E188" s="156"/>
      <c r="F188" s="201"/>
    </row>
    <row r="189" spans="1:6" ht="15.75">
      <c r="A189" s="156"/>
      <c r="B189" s="156"/>
      <c r="C189" s="156"/>
      <c r="D189" s="156"/>
      <c r="E189" s="156"/>
      <c r="F189" s="201"/>
    </row>
    <row r="190" spans="1:6" ht="15.75">
      <c r="A190" s="156"/>
      <c r="B190" s="156"/>
      <c r="C190" s="156"/>
      <c r="D190" s="156"/>
      <c r="E190" s="156"/>
      <c r="F190" s="201"/>
    </row>
    <row r="191" spans="1:6" ht="15.75">
      <c r="A191" s="156"/>
      <c r="B191" s="156"/>
      <c r="C191" s="156"/>
      <c r="D191" s="156"/>
      <c r="E191" s="156"/>
      <c r="F191" s="201"/>
    </row>
    <row r="192" spans="1:6" ht="15.75">
      <c r="A192" s="156"/>
      <c r="B192" s="156"/>
      <c r="C192" s="156"/>
      <c r="D192" s="156"/>
      <c r="E192" s="156"/>
      <c r="F192" s="201"/>
    </row>
    <row r="193" spans="1:6" ht="15.75">
      <c r="A193" s="156"/>
      <c r="B193" s="156"/>
      <c r="C193" s="156"/>
      <c r="D193" s="156"/>
      <c r="E193" s="156"/>
      <c r="F193" s="201"/>
    </row>
    <row r="194" spans="1:6" ht="15.75">
      <c r="A194" s="156"/>
      <c r="B194" s="156"/>
      <c r="C194" s="156"/>
      <c r="D194" s="156"/>
      <c r="E194" s="156"/>
      <c r="F194" s="201"/>
    </row>
    <row r="195" spans="1:6" ht="15.75">
      <c r="A195" s="156"/>
      <c r="B195" s="156"/>
      <c r="C195" s="156"/>
      <c r="D195" s="156"/>
      <c r="E195" s="156"/>
      <c r="F195" s="201"/>
    </row>
    <row r="196" spans="1:6" ht="15.75">
      <c r="A196" s="156"/>
      <c r="B196" s="156"/>
      <c r="C196" s="156"/>
      <c r="D196" s="156"/>
      <c r="E196" s="156"/>
      <c r="F196" s="201"/>
    </row>
    <row r="197" spans="1:6" ht="15.75">
      <c r="A197" s="156"/>
      <c r="B197" s="156"/>
      <c r="C197" s="156"/>
      <c r="D197" s="156"/>
      <c r="E197" s="156"/>
      <c r="F197" s="201"/>
    </row>
    <row r="198" spans="1:6" ht="15.75">
      <c r="A198" s="156"/>
      <c r="B198" s="156"/>
      <c r="C198" s="156"/>
      <c r="D198" s="156"/>
      <c r="E198" s="156"/>
      <c r="F198" s="201"/>
    </row>
    <row r="199" spans="1:6" ht="15.75">
      <c r="A199" s="156"/>
      <c r="B199" s="156"/>
      <c r="C199" s="156"/>
      <c r="D199" s="156"/>
      <c r="E199" s="156"/>
      <c r="F199" s="201"/>
    </row>
    <row r="200" spans="1:6" ht="15.75">
      <c r="A200" s="156"/>
      <c r="B200" s="156"/>
      <c r="C200" s="156"/>
      <c r="D200" s="156"/>
      <c r="E200" s="156"/>
      <c r="F200" s="201"/>
    </row>
    <row r="201" spans="1:6" ht="15.75">
      <c r="A201" s="156"/>
      <c r="B201" s="156"/>
      <c r="C201" s="156"/>
      <c r="D201" s="156"/>
      <c r="E201" s="156"/>
      <c r="F201" s="201"/>
    </row>
    <row r="202" spans="1:6" ht="15.75">
      <c r="A202" s="156"/>
      <c r="B202" s="156"/>
      <c r="C202" s="156"/>
      <c r="D202" s="156"/>
      <c r="E202" s="156"/>
      <c r="F202" s="201"/>
    </row>
    <row r="203" spans="1:6" ht="15.75">
      <c r="A203" s="156"/>
      <c r="B203" s="156"/>
      <c r="C203" s="156"/>
      <c r="D203" s="156"/>
      <c r="E203" s="156"/>
      <c r="F203" s="201"/>
    </row>
    <row r="204" spans="1:6" ht="15.75">
      <c r="A204" s="156"/>
      <c r="B204" s="156"/>
      <c r="C204" s="156"/>
      <c r="D204" s="156"/>
      <c r="E204" s="156"/>
      <c r="F204" s="201"/>
    </row>
  </sheetData>
  <sheetProtection/>
  <autoFilter ref="A8:Q148"/>
  <mergeCells count="24">
    <mergeCell ref="A122:F122"/>
    <mergeCell ref="A60:F60"/>
    <mergeCell ref="A9:F9"/>
    <mergeCell ref="A35:F35"/>
    <mergeCell ref="A41:F41"/>
    <mergeCell ref="A46:F46"/>
    <mergeCell ref="A51:F51"/>
    <mergeCell ref="A54:F54"/>
    <mergeCell ref="A132:F132"/>
    <mergeCell ref="A68:F68"/>
    <mergeCell ref="A76:F76"/>
    <mergeCell ref="A125:F125"/>
    <mergeCell ref="A83:F83"/>
    <mergeCell ref="A90:F90"/>
    <mergeCell ref="A110:F110"/>
    <mergeCell ref="A96:F96"/>
    <mergeCell ref="A103:F103"/>
    <mergeCell ref="A119:F119"/>
    <mergeCell ref="A3:F3"/>
    <mergeCell ref="A5:F5"/>
    <mergeCell ref="A7:A8"/>
    <mergeCell ref="B7:B8"/>
    <mergeCell ref="F7:F8"/>
    <mergeCell ref="C7:E7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C25" sqref="B25:C25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426"/>
      <c r="C1" s="426" t="s">
        <v>297</v>
      </c>
    </row>
    <row r="3" spans="2:3" ht="63" customHeight="1">
      <c r="B3" s="637" t="str">
        <f>'1. АМП'!A5</f>
        <v>РАСПРЕДЕЛЕНИЕ  ОБЪЁМОВ МЕДИЦИНСКОЙ ПОМОЩИ И ОБЪЕМОВ ФИНАНСОВОГО ОБЕСПЕЧЕНИЯ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637"/>
    </row>
    <row r="4" spans="2:6" ht="15" customHeight="1">
      <c r="B4" s="638" t="s">
        <v>114</v>
      </c>
      <c r="C4" s="638"/>
      <c r="D4" s="4"/>
      <c r="E4" s="4"/>
      <c r="F4" s="5"/>
    </row>
    <row r="5" spans="1:6" ht="15" customHeight="1">
      <c r="A5" s="70"/>
      <c r="B5" s="70"/>
      <c r="C5" s="70"/>
      <c r="D5" s="4"/>
      <c r="E5" s="4"/>
      <c r="F5" s="5"/>
    </row>
    <row r="6" spans="1:6" ht="34.5" customHeight="1">
      <c r="A6" s="117" t="s">
        <v>76</v>
      </c>
      <c r="B6" s="118" t="s">
        <v>115</v>
      </c>
      <c r="C6" s="117" t="s">
        <v>188</v>
      </c>
      <c r="D6" s="5"/>
      <c r="E6" s="5"/>
      <c r="F6" s="5"/>
    </row>
    <row r="7" spans="1:3" ht="15" customHeight="1">
      <c r="A7" s="120">
        <v>1</v>
      </c>
      <c r="B7" s="118">
        <v>2</v>
      </c>
      <c r="C7" s="120">
        <v>3</v>
      </c>
    </row>
    <row r="8" spans="1:3" ht="20.25" customHeight="1">
      <c r="A8" s="550" t="s">
        <v>475</v>
      </c>
      <c r="B8" s="7" t="s">
        <v>228</v>
      </c>
      <c r="C8" s="222">
        <v>10894</v>
      </c>
    </row>
    <row r="9" spans="1:3" ht="21" customHeight="1">
      <c r="A9" s="551" t="s">
        <v>476</v>
      </c>
      <c r="B9" s="386" t="s">
        <v>473</v>
      </c>
      <c r="C9" s="387">
        <v>26000</v>
      </c>
    </row>
    <row r="10" spans="1:3" s="549" customFormat="1" ht="21" customHeight="1">
      <c r="A10" s="552"/>
      <c r="B10" s="547" t="s">
        <v>474</v>
      </c>
      <c r="C10" s="548">
        <v>12</v>
      </c>
    </row>
    <row r="11" spans="1:4" ht="49.5" customHeight="1">
      <c r="A11" s="553" t="s">
        <v>477</v>
      </c>
      <c r="B11" s="277" t="s">
        <v>177</v>
      </c>
      <c r="C11" s="223">
        <v>2111</v>
      </c>
      <c r="D11" s="11"/>
    </row>
    <row r="12" spans="1:6" ht="30.75" customHeight="1">
      <c r="A12" s="554"/>
      <c r="B12" s="90" t="s">
        <v>48</v>
      </c>
      <c r="C12" s="91">
        <f>C11+C9+C8</f>
        <v>39005</v>
      </c>
      <c r="D12" s="12"/>
      <c r="E12" s="71"/>
      <c r="F12" s="71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9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23" sqref="S23"/>
    </sheetView>
  </sheetViews>
  <sheetFormatPr defaultColWidth="9.140625" defaultRowHeight="12.75"/>
  <cols>
    <col min="1" max="1" width="7.421875" style="226" customWidth="1"/>
    <col min="2" max="2" width="44.140625" style="226" customWidth="1"/>
    <col min="3" max="3" width="13.7109375" style="226" customWidth="1"/>
    <col min="4" max="4" width="13.421875" style="226" customWidth="1"/>
    <col min="5" max="5" width="15.421875" style="226" customWidth="1"/>
    <col min="6" max="16384" width="9.140625" style="226" customWidth="1"/>
  </cols>
  <sheetData>
    <row r="1" spans="5:6" ht="15.75">
      <c r="E1" s="617" t="s">
        <v>406</v>
      </c>
      <c r="F1" s="617"/>
    </row>
    <row r="3" spans="1:5" ht="45.75" customHeight="1">
      <c r="A3" s="599" t="str">
        <f>'4. СМП'!B3</f>
        <v>РАСПРЕДЕЛЕНИЕ  ОБЪЁМОВ МЕДИЦИНСКОЙ ПОМОЩИ И ОБЪЕМОВ ФИНАНСОВОГО ОБЕСПЕЧЕНИЯ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599"/>
      <c r="C3" s="599"/>
      <c r="D3" s="599"/>
      <c r="E3" s="599"/>
    </row>
    <row r="4" spans="1:5" ht="19.5" customHeight="1">
      <c r="A4" s="87"/>
      <c r="B4" s="87"/>
      <c r="C4" s="87"/>
      <c r="D4" s="87"/>
      <c r="E4" s="87"/>
    </row>
    <row r="5" spans="1:5" ht="15.75">
      <c r="A5" s="616" t="s">
        <v>147</v>
      </c>
      <c r="B5" s="616"/>
      <c r="C5" s="616"/>
      <c r="D5" s="616"/>
      <c r="E5" s="616"/>
    </row>
    <row r="7" spans="1:6" ht="18.75" customHeight="1">
      <c r="A7" s="644"/>
      <c r="B7" s="647" t="s">
        <v>107</v>
      </c>
      <c r="C7" s="650" t="s">
        <v>42</v>
      </c>
      <c r="D7" s="650"/>
      <c r="E7" s="650"/>
      <c r="F7" s="650"/>
    </row>
    <row r="8" spans="1:6" ht="17.25" customHeight="1">
      <c r="A8" s="645"/>
      <c r="B8" s="648"/>
      <c r="C8" s="639" t="s">
        <v>65</v>
      </c>
      <c r="D8" s="641" t="s">
        <v>210</v>
      </c>
      <c r="E8" s="642"/>
      <c r="F8" s="643"/>
    </row>
    <row r="9" spans="1:6" ht="21" customHeight="1">
      <c r="A9" s="646"/>
      <c r="B9" s="649"/>
      <c r="C9" s="640"/>
      <c r="D9" s="227" t="s">
        <v>214</v>
      </c>
      <c r="E9" s="227" t="s">
        <v>215</v>
      </c>
      <c r="F9" s="227" t="s">
        <v>216</v>
      </c>
    </row>
    <row r="10" spans="1:6" ht="15.75">
      <c r="A10" s="96">
        <v>1</v>
      </c>
      <c r="B10" s="228">
        <v>2</v>
      </c>
      <c r="C10" s="383">
        <v>4</v>
      </c>
      <c r="D10" s="296"/>
      <c r="E10" s="296">
        <v>5</v>
      </c>
      <c r="F10" s="296">
        <v>6</v>
      </c>
    </row>
    <row r="11" spans="1:6" s="230" customFormat="1" ht="15.75">
      <c r="A11" s="104"/>
      <c r="B11" s="229" t="s">
        <v>129</v>
      </c>
      <c r="C11" s="388">
        <f>SUM(C12:C23)</f>
        <v>4700</v>
      </c>
      <c r="D11" s="99">
        <f>SUM(D12:D23)</f>
        <v>2000</v>
      </c>
      <c r="E11" s="99">
        <f>SUM(E12:E23)</f>
        <v>1700</v>
      </c>
      <c r="F11" s="99">
        <f>SUM(F12:F23)</f>
        <v>1000</v>
      </c>
    </row>
    <row r="12" spans="1:6" s="230" customFormat="1" ht="24" customHeight="1">
      <c r="A12" s="105">
        <v>1</v>
      </c>
      <c r="B12" s="115" t="s">
        <v>130</v>
      </c>
      <c r="C12" s="77">
        <v>0</v>
      </c>
      <c r="D12" s="77"/>
      <c r="E12" s="77"/>
      <c r="F12" s="77"/>
    </row>
    <row r="13" spans="1:6" s="230" customFormat="1" ht="31.5">
      <c r="A13" s="105">
        <v>2</v>
      </c>
      <c r="B13" s="115" t="s">
        <v>131</v>
      </c>
      <c r="C13" s="77">
        <f>SUM(D13:F13)</f>
        <v>2600</v>
      </c>
      <c r="D13" s="77">
        <v>1050</v>
      </c>
      <c r="E13" s="77">
        <v>1000</v>
      </c>
      <c r="F13" s="77">
        <v>550</v>
      </c>
    </row>
    <row r="14" spans="1:6" ht="35.25" customHeight="1">
      <c r="A14" s="105">
        <v>3</v>
      </c>
      <c r="B14" s="115" t="s">
        <v>132</v>
      </c>
      <c r="C14" s="77">
        <f aca="true" t="shared" si="0" ref="C14:C28">SUM(D14:F14)</f>
        <v>1900</v>
      </c>
      <c r="D14" s="77">
        <v>800</v>
      </c>
      <c r="E14" s="77">
        <v>650</v>
      </c>
      <c r="F14" s="77">
        <v>450</v>
      </c>
    </row>
    <row r="15" spans="1:6" s="230" customFormat="1" ht="15.75">
      <c r="A15" s="105">
        <v>4</v>
      </c>
      <c r="B15" s="115" t="s">
        <v>133</v>
      </c>
      <c r="C15" s="77">
        <f t="shared" si="0"/>
        <v>100</v>
      </c>
      <c r="D15" s="77">
        <v>50</v>
      </c>
      <c r="E15" s="77">
        <v>50</v>
      </c>
      <c r="F15" s="77">
        <v>0</v>
      </c>
    </row>
    <row r="16" spans="1:6" s="230" customFormat="1" ht="15.75">
      <c r="A16" s="105">
        <v>5</v>
      </c>
      <c r="B16" s="115" t="s">
        <v>134</v>
      </c>
      <c r="C16" s="77">
        <f t="shared" si="0"/>
        <v>0</v>
      </c>
      <c r="D16" s="77"/>
      <c r="E16" s="77"/>
      <c r="F16" s="77"/>
    </row>
    <row r="17" spans="1:6" s="230" customFormat="1" ht="17.25" customHeight="1">
      <c r="A17" s="105">
        <v>6</v>
      </c>
      <c r="B17" s="115" t="s">
        <v>135</v>
      </c>
      <c r="C17" s="77">
        <f t="shared" si="0"/>
        <v>0</v>
      </c>
      <c r="D17" s="77"/>
      <c r="E17" s="77"/>
      <c r="F17" s="77"/>
    </row>
    <row r="18" spans="1:6" s="230" customFormat="1" ht="15.75">
      <c r="A18" s="105">
        <v>7</v>
      </c>
      <c r="B18" s="115" t="s">
        <v>136</v>
      </c>
      <c r="C18" s="77">
        <f t="shared" si="0"/>
        <v>0</v>
      </c>
      <c r="D18" s="77"/>
      <c r="E18" s="77"/>
      <c r="F18" s="77"/>
    </row>
    <row r="19" spans="1:6" s="230" customFormat="1" ht="15.75">
      <c r="A19" s="105">
        <v>8</v>
      </c>
      <c r="B19" s="115" t="s">
        <v>137</v>
      </c>
      <c r="C19" s="77">
        <f t="shared" si="0"/>
        <v>0</v>
      </c>
      <c r="D19" s="77"/>
      <c r="E19" s="77"/>
      <c r="F19" s="77"/>
    </row>
    <row r="20" spans="1:6" s="230" customFormat="1" ht="15.75">
      <c r="A20" s="105">
        <v>9</v>
      </c>
      <c r="B20" s="115" t="s">
        <v>138</v>
      </c>
      <c r="C20" s="77">
        <f t="shared" si="0"/>
        <v>100</v>
      </c>
      <c r="D20" s="77">
        <v>100</v>
      </c>
      <c r="E20" s="77"/>
      <c r="F20" s="77"/>
    </row>
    <row r="21" spans="1:6" s="230" customFormat="1" ht="15.75">
      <c r="A21" s="105">
        <v>10</v>
      </c>
      <c r="B21" s="115" t="s">
        <v>139</v>
      </c>
      <c r="C21" s="77">
        <f t="shared" si="0"/>
        <v>0</v>
      </c>
      <c r="D21" s="77">
        <v>0</v>
      </c>
      <c r="E21" s="77"/>
      <c r="F21" s="77"/>
    </row>
    <row r="22" spans="1:6" s="230" customFormat="1" ht="15.75">
      <c r="A22" s="105">
        <v>11</v>
      </c>
      <c r="B22" s="115" t="s">
        <v>140</v>
      </c>
      <c r="C22" s="77">
        <f t="shared" si="0"/>
        <v>0</v>
      </c>
      <c r="D22" s="77"/>
      <c r="E22" s="77"/>
      <c r="F22" s="77"/>
    </row>
    <row r="23" spans="1:6" s="230" customFormat="1" ht="15.75">
      <c r="A23" s="105">
        <v>12</v>
      </c>
      <c r="B23" s="115" t="s">
        <v>141</v>
      </c>
      <c r="C23" s="77">
        <f t="shared" si="0"/>
        <v>0</v>
      </c>
      <c r="D23" s="77">
        <v>0</v>
      </c>
      <c r="E23" s="77"/>
      <c r="F23" s="77"/>
    </row>
    <row r="24" spans="1:6" s="230" customFormat="1" ht="15.75">
      <c r="A24" s="104"/>
      <c r="B24" s="229" t="s">
        <v>142</v>
      </c>
      <c r="C24" s="388">
        <f>SUM(C25:C28)</f>
        <v>1275</v>
      </c>
      <c r="D24" s="388">
        <f>SUM(D25:D28)</f>
        <v>285</v>
      </c>
      <c r="E24" s="388">
        <f>SUM(E25:E28)</f>
        <v>990</v>
      </c>
      <c r="F24" s="388">
        <f>SUM(F25:F28)</f>
        <v>0</v>
      </c>
    </row>
    <row r="25" spans="1:6" s="230" customFormat="1" ht="23.25" customHeight="1">
      <c r="A25" s="105">
        <v>13</v>
      </c>
      <c r="B25" s="106" t="s">
        <v>143</v>
      </c>
      <c r="C25" s="77">
        <f t="shared" si="0"/>
        <v>0</v>
      </c>
      <c r="D25" s="77">
        <v>0</v>
      </c>
      <c r="E25" s="77">
        <v>0</v>
      </c>
      <c r="F25" s="77"/>
    </row>
    <row r="26" spans="1:6" s="230" customFormat="1" ht="15.75">
      <c r="A26" s="105">
        <v>14</v>
      </c>
      <c r="B26" s="106" t="s">
        <v>144</v>
      </c>
      <c r="C26" s="77">
        <f t="shared" si="0"/>
        <v>180</v>
      </c>
      <c r="D26" s="77">
        <v>90</v>
      </c>
      <c r="E26" s="77">
        <v>90</v>
      </c>
      <c r="F26" s="77"/>
    </row>
    <row r="27" spans="1:6" ht="34.5" customHeight="1">
      <c r="A27" s="105">
        <v>15</v>
      </c>
      <c r="B27" s="106" t="s">
        <v>145</v>
      </c>
      <c r="C27" s="77">
        <f t="shared" si="0"/>
        <v>1095</v>
      </c>
      <c r="D27" s="77">
        <v>195</v>
      </c>
      <c r="E27" s="77">
        <v>900</v>
      </c>
      <c r="F27" s="77"/>
    </row>
    <row r="28" spans="1:6" ht="31.5">
      <c r="A28" s="105">
        <v>16</v>
      </c>
      <c r="B28" s="106" t="s">
        <v>146</v>
      </c>
      <c r="C28" s="77">
        <f t="shared" si="0"/>
        <v>0</v>
      </c>
      <c r="D28" s="77"/>
      <c r="E28" s="77"/>
      <c r="F28" s="77"/>
    </row>
    <row r="29" spans="1:6" ht="15.75">
      <c r="A29" s="107"/>
      <c r="B29" s="108" t="s">
        <v>65</v>
      </c>
      <c r="C29" s="95">
        <f>C24+C11</f>
        <v>5975</v>
      </c>
      <c r="D29" s="388">
        <f>D24+D11</f>
        <v>2285</v>
      </c>
      <c r="E29" s="388">
        <f>E24+E11</f>
        <v>2690</v>
      </c>
      <c r="F29" s="388">
        <f>F24+F11</f>
        <v>1000</v>
      </c>
    </row>
  </sheetData>
  <sheetProtection/>
  <mergeCells count="8">
    <mergeCell ref="E1:F1"/>
    <mergeCell ref="C8:C9"/>
    <mergeCell ref="D8:F8"/>
    <mergeCell ref="A3:E3"/>
    <mergeCell ref="A5:E5"/>
    <mergeCell ref="A7:A9"/>
    <mergeCell ref="B7:B9"/>
    <mergeCell ref="C7:F7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85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0"/>
  <sheetViews>
    <sheetView tabSelected="1" view="pageBreakPreview" zoomScale="80" zoomScaleSheetLayoutView="80" zoomScalePageLayoutView="0" workbookViewId="0" topLeftCell="A1">
      <selection activeCell="B20" sqref="B20"/>
    </sheetView>
  </sheetViews>
  <sheetFormatPr defaultColWidth="9.140625" defaultRowHeight="12.75"/>
  <cols>
    <col min="1" max="1" width="6.28125" style="409" customWidth="1"/>
    <col min="2" max="2" width="71.00390625" style="409" customWidth="1"/>
    <col min="3" max="3" width="15.28125" style="409" hidden="1" customWidth="1"/>
    <col min="4" max="4" width="18.00390625" style="409" hidden="1" customWidth="1"/>
    <col min="5" max="5" width="15.28125" style="409" customWidth="1"/>
    <col min="6" max="6" width="16.140625" style="409" customWidth="1"/>
    <col min="7" max="7" width="14.00390625" style="409" customWidth="1"/>
    <col min="8" max="8" width="13.28125" style="409" customWidth="1"/>
    <col min="9" max="16384" width="9.140625" style="409" customWidth="1"/>
  </cols>
  <sheetData>
    <row r="1" ht="15.75">
      <c r="E1" s="410" t="s">
        <v>296</v>
      </c>
    </row>
    <row r="3" spans="1:5" ht="76.5" customHeight="1">
      <c r="A3" s="653" t="s">
        <v>358</v>
      </c>
      <c r="B3" s="653"/>
      <c r="C3" s="653"/>
      <c r="D3" s="653"/>
      <c r="E3" s="653"/>
    </row>
    <row r="5" spans="1:5" ht="38.25" customHeight="1">
      <c r="A5" s="654" t="s">
        <v>76</v>
      </c>
      <c r="B5" s="656" t="s">
        <v>237</v>
      </c>
      <c r="C5" s="658" t="s">
        <v>464</v>
      </c>
      <c r="D5" s="660" t="s">
        <v>461</v>
      </c>
      <c r="E5" s="651" t="s">
        <v>478</v>
      </c>
    </row>
    <row r="6" spans="1:5" ht="54" customHeight="1">
      <c r="A6" s="655"/>
      <c r="B6" s="657"/>
      <c r="C6" s="659"/>
      <c r="D6" s="661"/>
      <c r="E6" s="652"/>
    </row>
    <row r="7" spans="1:8" ht="24.75" customHeight="1">
      <c r="A7" s="454">
        <v>1</v>
      </c>
      <c r="B7" s="455" t="s">
        <v>42</v>
      </c>
      <c r="C7" s="546">
        <v>4087109.5561646624</v>
      </c>
      <c r="D7" s="457"/>
      <c r="E7" s="467">
        <f aca="true" t="shared" si="0" ref="E7:E27">C7+D7</f>
        <v>4087109.5561646624</v>
      </c>
      <c r="H7" s="463"/>
    </row>
    <row r="8" spans="1:8" ht="24.75" customHeight="1">
      <c r="A8" s="458" t="s">
        <v>270</v>
      </c>
      <c r="B8" s="459" t="s">
        <v>55</v>
      </c>
      <c r="C8" s="546">
        <v>954326.8777942933</v>
      </c>
      <c r="D8" s="457"/>
      <c r="E8" s="467">
        <f t="shared" si="0"/>
        <v>954326.8777942933</v>
      </c>
      <c r="H8" s="463"/>
    </row>
    <row r="9" spans="1:8" ht="21.75" customHeight="1">
      <c r="A9" s="458" t="s">
        <v>271</v>
      </c>
      <c r="B9" s="459" t="s">
        <v>335</v>
      </c>
      <c r="C9" s="546">
        <v>54779.79</v>
      </c>
      <c r="D9" s="457"/>
      <c r="E9" s="467">
        <f t="shared" si="0"/>
        <v>54779.79</v>
      </c>
      <c r="H9" s="463"/>
    </row>
    <row r="10" spans="1:8" ht="32.25" customHeight="1">
      <c r="A10" s="458" t="s">
        <v>272</v>
      </c>
      <c r="B10" s="459" t="s">
        <v>41</v>
      </c>
      <c r="C10" s="546">
        <v>505564.51999999996</v>
      </c>
      <c r="D10" s="457"/>
      <c r="E10" s="467">
        <f t="shared" si="0"/>
        <v>505564.51999999996</v>
      </c>
      <c r="H10" s="463"/>
    </row>
    <row r="11" spans="1:8" ht="30" customHeight="1">
      <c r="A11" s="458" t="s">
        <v>273</v>
      </c>
      <c r="B11" s="459" t="s">
        <v>223</v>
      </c>
      <c r="C11" s="546">
        <v>982829.7160410439</v>
      </c>
      <c r="D11" s="457"/>
      <c r="E11" s="467">
        <f t="shared" si="0"/>
        <v>982829.7160410439</v>
      </c>
      <c r="F11" s="463"/>
      <c r="H11" s="463"/>
    </row>
    <row r="12" spans="1:8" ht="29.25" customHeight="1">
      <c r="A12" s="458" t="s">
        <v>273</v>
      </c>
      <c r="B12" s="459" t="s">
        <v>238</v>
      </c>
      <c r="C12" s="546">
        <v>349497.94</v>
      </c>
      <c r="D12" s="457"/>
      <c r="E12" s="467">
        <f t="shared" si="0"/>
        <v>349497.94</v>
      </c>
      <c r="F12" s="463"/>
      <c r="G12" s="463"/>
      <c r="H12" s="463"/>
    </row>
    <row r="13" spans="1:8" ht="20.25" customHeight="1">
      <c r="A13" s="458" t="s">
        <v>274</v>
      </c>
      <c r="B13" s="455" t="s">
        <v>239</v>
      </c>
      <c r="C13" s="546">
        <v>4833.97</v>
      </c>
      <c r="D13" s="457"/>
      <c r="E13" s="467">
        <f t="shared" si="0"/>
        <v>4833.97</v>
      </c>
      <c r="H13" s="463"/>
    </row>
    <row r="14" spans="1:8" ht="20.25" customHeight="1">
      <c r="A14" s="458" t="s">
        <v>275</v>
      </c>
      <c r="B14" s="460" t="s">
        <v>240</v>
      </c>
      <c r="C14" s="546">
        <v>3955.07</v>
      </c>
      <c r="D14" s="457"/>
      <c r="E14" s="467">
        <f t="shared" si="0"/>
        <v>3955.07</v>
      </c>
      <c r="H14" s="463"/>
    </row>
    <row r="15" spans="1:8" ht="20.25" customHeight="1">
      <c r="A15" s="458" t="s">
        <v>276</v>
      </c>
      <c r="B15" s="459" t="s">
        <v>241</v>
      </c>
      <c r="C15" s="546">
        <v>38026.78</v>
      </c>
      <c r="D15" s="457"/>
      <c r="E15" s="467">
        <f t="shared" si="0"/>
        <v>38026.78</v>
      </c>
      <c r="H15" s="463"/>
    </row>
    <row r="16" spans="1:8" ht="20.25" customHeight="1">
      <c r="A16" s="458" t="s">
        <v>277</v>
      </c>
      <c r="B16" s="459" t="s">
        <v>242</v>
      </c>
      <c r="C16" s="546">
        <v>51999.07</v>
      </c>
      <c r="D16" s="457"/>
      <c r="E16" s="467">
        <f t="shared" si="0"/>
        <v>51999.07</v>
      </c>
      <c r="H16" s="463"/>
    </row>
    <row r="17" spans="1:8" ht="23.25" customHeight="1">
      <c r="A17" s="458" t="s">
        <v>278</v>
      </c>
      <c r="B17" s="459" t="s">
        <v>243</v>
      </c>
      <c r="C17" s="546">
        <v>52255.76</v>
      </c>
      <c r="D17" s="457"/>
      <c r="E17" s="467">
        <f t="shared" si="0"/>
        <v>52255.76</v>
      </c>
      <c r="H17" s="463"/>
    </row>
    <row r="18" spans="1:8" ht="24" customHeight="1">
      <c r="A18" s="458" t="s">
        <v>279</v>
      </c>
      <c r="B18" s="460" t="s">
        <v>244</v>
      </c>
      <c r="C18" s="546">
        <v>8259.22</v>
      </c>
      <c r="D18" s="457"/>
      <c r="E18" s="467">
        <f t="shared" si="0"/>
        <v>8259.22</v>
      </c>
      <c r="H18" s="463"/>
    </row>
    <row r="19" spans="1:8" ht="20.25" customHeight="1">
      <c r="A19" s="458" t="s">
        <v>280</v>
      </c>
      <c r="B19" s="460" t="s">
        <v>480</v>
      </c>
      <c r="C19" s="546">
        <v>5666.29</v>
      </c>
      <c r="D19" s="457"/>
      <c r="E19" s="467">
        <f t="shared" si="0"/>
        <v>5666.29</v>
      </c>
      <c r="H19" s="463"/>
    </row>
    <row r="20" spans="1:8" ht="20.25" customHeight="1">
      <c r="A20" s="458" t="s">
        <v>281</v>
      </c>
      <c r="B20" s="459" t="s">
        <v>108</v>
      </c>
      <c r="C20" s="546">
        <v>2371.63</v>
      </c>
      <c r="D20" s="457"/>
      <c r="E20" s="467">
        <f t="shared" si="0"/>
        <v>2371.63</v>
      </c>
      <c r="H20" s="463"/>
    </row>
    <row r="21" spans="1:8" ht="20.25" customHeight="1">
      <c r="A21" s="458" t="s">
        <v>282</v>
      </c>
      <c r="B21" s="459" t="s">
        <v>245</v>
      </c>
      <c r="C21" s="546">
        <v>474.18</v>
      </c>
      <c r="D21" s="457"/>
      <c r="E21" s="467">
        <f t="shared" si="0"/>
        <v>474.18</v>
      </c>
      <c r="H21" s="463"/>
    </row>
    <row r="22" spans="1:8" ht="20.25" customHeight="1">
      <c r="A22" s="458" t="s">
        <v>283</v>
      </c>
      <c r="B22" s="459" t="s">
        <v>56</v>
      </c>
      <c r="C22" s="546">
        <v>1870.93</v>
      </c>
      <c r="D22" s="457"/>
      <c r="E22" s="467">
        <f t="shared" si="0"/>
        <v>1870.93</v>
      </c>
      <c r="H22" s="463"/>
    </row>
    <row r="23" spans="1:8" ht="23.25" customHeight="1">
      <c r="A23" s="458" t="s">
        <v>284</v>
      </c>
      <c r="B23" s="460" t="s">
        <v>462</v>
      </c>
      <c r="C23" s="546">
        <v>468.21000000000004</v>
      </c>
      <c r="D23" s="457"/>
      <c r="E23" s="467">
        <f t="shared" si="0"/>
        <v>468.21000000000004</v>
      </c>
      <c r="H23" s="463"/>
    </row>
    <row r="24" spans="1:8" ht="26.25" customHeight="1">
      <c r="A24" s="458" t="s">
        <v>285</v>
      </c>
      <c r="B24" s="459" t="s">
        <v>334</v>
      </c>
      <c r="C24" s="546">
        <v>1292.23</v>
      </c>
      <c r="D24" s="457"/>
      <c r="E24" s="467">
        <f t="shared" si="0"/>
        <v>1292.23</v>
      </c>
      <c r="H24" s="463"/>
    </row>
    <row r="25" spans="1:8" ht="20.25" customHeight="1">
      <c r="A25" s="458" t="s">
        <v>286</v>
      </c>
      <c r="B25" s="459" t="s">
        <v>288</v>
      </c>
      <c r="C25" s="546">
        <v>14077.53</v>
      </c>
      <c r="D25" s="457"/>
      <c r="E25" s="467">
        <f t="shared" si="0"/>
        <v>14077.53</v>
      </c>
      <c r="H25" s="463"/>
    </row>
    <row r="26" spans="1:8" ht="31.5" customHeight="1">
      <c r="A26" s="458" t="s">
        <v>287</v>
      </c>
      <c r="B26" s="459" t="s">
        <v>470</v>
      </c>
      <c r="C26" s="546">
        <v>997.83</v>
      </c>
      <c r="D26" s="457"/>
      <c r="E26" s="467">
        <f t="shared" si="0"/>
        <v>997.83</v>
      </c>
      <c r="F26" s="463"/>
      <c r="H26" s="463"/>
    </row>
    <row r="27" spans="1:8" ht="20.25" customHeight="1">
      <c r="A27" s="458" t="s">
        <v>289</v>
      </c>
      <c r="B27" s="459" t="s">
        <v>472</v>
      </c>
      <c r="C27" s="546">
        <v>261.8</v>
      </c>
      <c r="D27" s="457"/>
      <c r="E27" s="467">
        <f t="shared" si="0"/>
        <v>261.8</v>
      </c>
      <c r="F27" s="463"/>
      <c r="H27" s="463"/>
    </row>
    <row r="28" spans="1:7" s="470" customFormat="1" ht="21.75" customHeight="1">
      <c r="A28" s="468"/>
      <c r="B28" s="469" t="s">
        <v>353</v>
      </c>
      <c r="C28" s="461">
        <f>SUM(C7:C27)</f>
        <v>7120918.899999999</v>
      </c>
      <c r="D28" s="457">
        <f>SUM(D7:D27)</f>
        <v>0</v>
      </c>
      <c r="E28" s="461">
        <f>SUM(E7:E27)</f>
        <v>7120918.899999999</v>
      </c>
      <c r="F28" s="473">
        <v>7120918.899999999</v>
      </c>
      <c r="G28" s="475">
        <f>F28-E28</f>
        <v>0</v>
      </c>
    </row>
    <row r="29" spans="1:7" ht="37.5" customHeight="1">
      <c r="A29" s="458" t="s">
        <v>463</v>
      </c>
      <c r="B29" s="459" t="s">
        <v>355</v>
      </c>
      <c r="C29" s="456">
        <v>235329.9</v>
      </c>
      <c r="D29" s="457"/>
      <c r="E29" s="456">
        <f>C29+D29</f>
        <v>235329.9</v>
      </c>
      <c r="F29" s="474">
        <v>235329.9</v>
      </c>
      <c r="G29" s="463">
        <f>F29-C29</f>
        <v>0</v>
      </c>
    </row>
    <row r="30" spans="1:7" ht="26.25" customHeight="1">
      <c r="A30" s="461"/>
      <c r="B30" s="462" t="s">
        <v>354</v>
      </c>
      <c r="C30" s="461">
        <f>C29+C28</f>
        <v>7356248.8</v>
      </c>
      <c r="D30" s="457">
        <f>D29+D28</f>
        <v>0</v>
      </c>
      <c r="E30" s="461">
        <f>E29+E28</f>
        <v>7356248.8</v>
      </c>
      <c r="F30" s="473">
        <v>7356248.8</v>
      </c>
      <c r="G30" s="463">
        <f>F30-E30</f>
        <v>0</v>
      </c>
    </row>
    <row r="31" ht="24" customHeight="1"/>
  </sheetData>
  <sheetProtection/>
  <mergeCells count="6">
    <mergeCell ref="E5:E6"/>
    <mergeCell ref="A3:E3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Балданов Эрдэм Цырендоржиевич</cp:lastModifiedBy>
  <cp:lastPrinted>2022-05-25T23:08:02Z</cp:lastPrinted>
  <dcterms:created xsi:type="dcterms:W3CDTF">1996-10-08T23:32:33Z</dcterms:created>
  <dcterms:modified xsi:type="dcterms:W3CDTF">2023-01-26T05:21:41Z</dcterms:modified>
  <cp:category/>
  <cp:version/>
  <cp:contentType/>
  <cp:contentStatus/>
</cp:coreProperties>
</file>