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8 от 14.12.2020\Приложение к вопросу № 18-03 от 23.12.2020 (ДС № 12)\Дополнительное соглашение от  23.12.2020 № 12\"/>
    </mc:Choice>
  </mc:AlternateContent>
  <bookViews>
    <workbookView xWindow="14505" yWindow="405" windowWidth="14310" windowHeight="11625" firstSheet="6" activeTab="6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19 (черн)" sheetId="34" state="hidden" r:id="rId6"/>
    <sheet name="все виды помощи 2020" sheetId="28" r:id="rId7"/>
    <sheet name="тарифы (с плот.) (2)" sheetId="24" state="hidden" r:id="rId8"/>
    <sheet name="тарифы (с плот.)" sheetId="17" state="hidden" r:id="rId9"/>
    <sheet name="тарифы  (для Приложения 1)" sheetId="26" state="hidden" r:id="rId10"/>
    <sheet name="плотность населения" sheetId="27" state="hidden" r:id="rId11"/>
    <sheet name="тарифы (без плотн) (2)" sheetId="23" state="hidden" r:id="rId12"/>
    <sheet name="тарифы (без плотн)" sheetId="22" state="hidden" r:id="rId13"/>
  </sheets>
  <externalReferences>
    <externalReference r:id="rId14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2019 (черн)'!$A$8:$U$17</definedName>
    <definedName name="_xlnm._FilterDatabase" localSheetId="6" hidden="1">'все виды помощи 2020'!$A$12:$Q$23</definedName>
    <definedName name="_xlnm._FilterDatabase" localSheetId="9" hidden="1">'тарифы  (для Приложения 1)'!$A$7:$H$14</definedName>
    <definedName name="_xlnm._FilterDatabase" localSheetId="12" hidden="1">'тарифы (без плотн)'!$A$7:$H$19</definedName>
    <definedName name="_xlnm._FilterDatabase" localSheetId="11" hidden="1">'тарифы (без плотн) (2)'!$A$7:$H$19</definedName>
    <definedName name="_xlnm._FilterDatabase" localSheetId="8" hidden="1">'тарифы (с плот.)'!$A$7:$H$19</definedName>
    <definedName name="_xlnm._FilterDatabase" localSheetId="7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2019 (черн)'!$4:$7</definedName>
    <definedName name="_xlnm.Print_Titles" localSheetId="6">'все виды помощи 2020'!$8:$11</definedName>
    <definedName name="_xlnm.Print_Titles" localSheetId="9">'тарифы  (для Приложения 1)'!$4:$5</definedName>
    <definedName name="_xlnm.Print_Titles" localSheetId="12">'тарифы (без плотн)'!$4:$5</definedName>
    <definedName name="_xlnm.Print_Titles" localSheetId="11">'тарифы (без плотн) (2)'!$4:$5</definedName>
    <definedName name="_xlnm.Print_Titles" localSheetId="8">'тарифы (с плот.)'!$4:$5</definedName>
    <definedName name="_xlnm.Print_Titles" localSheetId="7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2019 (черн)'!$B$1:$T$15</definedName>
    <definedName name="_xlnm.Print_Area" localSheetId="6">'все виды помощи 2020'!$B$1:$Q$23</definedName>
    <definedName name="_xlnm.Print_Area" localSheetId="0">'Коэф плотности населения'!$A$1:$F$20</definedName>
    <definedName name="_xlnm.Print_Area" localSheetId="9">'тарифы  (для Приложения 1)'!$B$1:$I$14</definedName>
    <definedName name="_xlnm.Print_Area" localSheetId="12">'тарифы (без плотн)'!$B$1:$I$20</definedName>
    <definedName name="_xlnm.Print_Area" localSheetId="11">'тарифы (без плотн) (2)'!$B$1:$I$20</definedName>
    <definedName name="_xlnm.Print_Area" localSheetId="8">'тарифы (с плот.)'!$B$1:$I$20</definedName>
    <definedName name="_xlnm.Print_Area" localSheetId="7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D23" i="34" l="1"/>
  <c r="S19" i="34" s="1"/>
  <c r="D22" i="34"/>
  <c r="D21" i="34"/>
  <c r="R19" i="34"/>
  <c r="Q18" i="34"/>
  <c r="W17" i="34"/>
  <c r="W18" i="34" s="1"/>
  <c r="AC15" i="34"/>
  <c r="S15" i="34"/>
  <c r="AC14" i="34"/>
  <c r="S14" i="34"/>
  <c r="AC13" i="34"/>
  <c r="S13" i="34"/>
  <c r="AC12" i="34"/>
  <c r="S12" i="34"/>
  <c r="AC11" i="34"/>
  <c r="S11" i="34"/>
  <c r="AC10" i="34"/>
  <c r="S10" i="34"/>
  <c r="AC9" i="34"/>
  <c r="S9" i="34"/>
  <c r="S18" i="34" l="1"/>
  <c r="AC16" i="34"/>
  <c r="D19" i="34"/>
  <c r="U19" i="34" s="1"/>
  <c r="D20" i="34" s="1"/>
  <c r="S20" i="34"/>
  <c r="Q19" i="34"/>
  <c r="Q20" i="34" s="1"/>
  <c r="P19" i="34" l="1"/>
  <c r="O8" i="26"/>
  <c r="R14" i="26"/>
  <c r="R13" i="26"/>
  <c r="R11" i="26"/>
  <c r="R10" i="26"/>
  <c r="R9" i="26"/>
  <c r="R12" i="26"/>
  <c r="R8" i="26"/>
  <c r="O14" i="26"/>
  <c r="O13" i="26"/>
  <c r="O11" i="26"/>
  <c r="O10" i="26"/>
  <c r="O9" i="26"/>
  <c r="O12" i="26"/>
  <c r="E14" i="26" l="1"/>
  <c r="E9" i="26"/>
  <c r="E11" i="26"/>
  <c r="E10" i="26"/>
  <c r="E13" i="26"/>
  <c r="L14" i="26" s="1"/>
  <c r="E12" i="26"/>
  <c r="E8" i="26"/>
  <c r="L11" i="26" l="1"/>
  <c r="L9" i="26"/>
  <c r="E15" i="26"/>
  <c r="F16" i="26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K22" i="27" l="1"/>
  <c r="H22" i="27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1" i="34" l="1"/>
  <c r="E12" i="21"/>
  <c r="E12" i="32"/>
  <c r="E12" i="31"/>
  <c r="E12" i="29"/>
  <c r="E9" i="32"/>
  <c r="E9" i="29"/>
  <c r="E9" i="31"/>
  <c r="E8" i="21"/>
  <c r="E13" i="34"/>
  <c r="E15" i="34"/>
  <c r="T21" i="34" l="1"/>
  <c r="T23" i="34" s="1"/>
  <c r="E19" i="34"/>
  <c r="E14" i="34"/>
  <c r="E12" i="34"/>
  <c r="E9" i="34"/>
  <c r="E10" i="34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Q25" i="32"/>
  <c r="Q26" i="32" s="1"/>
  <c r="Q25" i="31"/>
  <c r="Q26" i="31" s="1"/>
  <c r="Q25" i="29"/>
  <c r="Q26" i="29" s="1"/>
  <c r="E19" i="21"/>
  <c r="E18" i="21"/>
  <c r="E17" i="21"/>
  <c r="E16" i="21"/>
  <c r="E22" i="31" l="1"/>
  <c r="D9" i="31" s="1"/>
  <c r="D18" i="31" s="1"/>
  <c r="D16" i="31" s="1"/>
  <c r="E18" i="34"/>
  <c r="D9" i="34" s="1"/>
  <c r="E22" i="29"/>
  <c r="D9" i="29" s="1"/>
  <c r="W9" i="29" s="1"/>
  <c r="E22" i="32"/>
  <c r="D9" i="32" s="1"/>
  <c r="D18" i="32" s="1"/>
  <c r="D13" i="32" s="1"/>
  <c r="W13" i="32" s="1"/>
  <c r="W9" i="31" l="1"/>
  <c r="E20" i="34"/>
  <c r="D13" i="34"/>
  <c r="D15" i="34"/>
  <c r="D11" i="34"/>
  <c r="Y9" i="34"/>
  <c r="D10" i="34"/>
  <c r="D12" i="34"/>
  <c r="D14" i="34"/>
  <c r="D18" i="29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W16" i="31"/>
  <c r="W21" i="31"/>
  <c r="W16" i="29" l="1"/>
  <c r="D10" i="29"/>
  <c r="W10" i="29" s="1"/>
  <c r="D17" i="31"/>
  <c r="W17" i="31" s="1"/>
  <c r="X20" i="31" s="1"/>
  <c r="W18" i="29"/>
  <c r="D13" i="29"/>
  <c r="W13" i="29" s="1"/>
  <c r="D14" i="29"/>
  <c r="W14" i="29" s="1"/>
  <c r="Y12" i="34"/>
  <c r="Y15" i="34"/>
  <c r="W21" i="32"/>
  <c r="W22" i="32" s="1"/>
  <c r="Y14" i="34"/>
  <c r="Y10" i="34"/>
  <c r="Z10" i="34" s="1"/>
  <c r="Y11" i="34"/>
  <c r="Y13" i="34"/>
  <c r="D19" i="29"/>
  <c r="W19" i="29" s="1"/>
  <c r="D12" i="29"/>
  <c r="W12" i="29" s="1"/>
  <c r="D20" i="29"/>
  <c r="W20" i="29" s="1"/>
  <c r="D15" i="29"/>
  <c r="W15" i="29" s="1"/>
  <c r="X14" i="31"/>
  <c r="X20" i="32"/>
  <c r="W22" i="31"/>
  <c r="W14" i="32"/>
  <c r="X14" i="32" s="1"/>
  <c r="D17" i="29" l="1"/>
  <c r="W17" i="29" s="1"/>
  <c r="X20" i="29" s="1"/>
  <c r="X14" i="29"/>
  <c r="W22" i="29"/>
  <c r="Z15" i="34"/>
  <c r="Z12" i="34"/>
  <c r="F13" i="34" l="1"/>
  <c r="K13" i="34" s="1"/>
  <c r="F15" i="34"/>
  <c r="K15" i="34" s="1"/>
  <c r="F12" i="34" l="1"/>
  <c r="K12" i="34" s="1"/>
  <c r="F10" i="34"/>
  <c r="K10" i="34" s="1"/>
  <c r="F11" i="34"/>
  <c r="K11" i="34" s="1"/>
  <c r="L13" i="34"/>
  <c r="M13" i="34" s="1"/>
  <c r="W13" i="34"/>
  <c r="L15" i="34"/>
  <c r="M15" i="34" s="1"/>
  <c r="W15" i="34"/>
  <c r="F14" i="34"/>
  <c r="K14" i="34" s="1"/>
  <c r="F9" i="34"/>
  <c r="K9" i="34" s="1"/>
  <c r="F11" i="2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V20" i="31" l="1"/>
  <c r="L17" i="31" s="1"/>
  <c r="M17" i="31" s="1"/>
  <c r="R17" i="31" s="1"/>
  <c r="L9" i="34"/>
  <c r="M9" i="34" s="1"/>
  <c r="W9" i="34"/>
  <c r="L11" i="34"/>
  <c r="M11" i="34" s="1"/>
  <c r="W11" i="34"/>
  <c r="L10" i="34"/>
  <c r="M10" i="34" s="1"/>
  <c r="W10" i="34"/>
  <c r="L12" i="34"/>
  <c r="M12" i="34" s="1"/>
  <c r="W12" i="34"/>
  <c r="L14" i="34"/>
  <c r="M14" i="34" s="1"/>
  <c r="W14" i="34"/>
  <c r="X15" i="34" s="1"/>
  <c r="U15" i="34"/>
  <c r="U13" i="34"/>
  <c r="U22" i="31"/>
  <c r="R15" i="29"/>
  <c r="V20" i="29"/>
  <c r="L17" i="29" s="1"/>
  <c r="M17" i="29" s="1"/>
  <c r="U22" i="29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X12" i="34" l="1"/>
  <c r="R18" i="31"/>
  <c r="R20" i="31"/>
  <c r="R19" i="31"/>
  <c r="U14" i="34"/>
  <c r="U12" i="34"/>
  <c r="U10" i="34"/>
  <c r="U11" i="34"/>
  <c r="X10" i="34"/>
  <c r="U9" i="34"/>
  <c r="R10" i="3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U18" i="34" l="1"/>
  <c r="N9" i="34" s="1"/>
  <c r="O13" i="34" s="1"/>
  <c r="P13" i="34" s="1"/>
  <c r="R13" i="34" s="1"/>
  <c r="AB13" i="34" s="1"/>
  <c r="AD13" i="34" s="1"/>
  <c r="R22" i="29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2" i="34" l="1"/>
  <c r="P12" i="34" s="1"/>
  <c r="R12" i="34" s="1"/>
  <c r="AB12" i="34" s="1"/>
  <c r="AD12" i="34" s="1"/>
  <c r="O15" i="34"/>
  <c r="P15" i="34" s="1"/>
  <c r="R15" i="34" s="1"/>
  <c r="AB15" i="34" s="1"/>
  <c r="AD15" i="34" s="1"/>
  <c r="O9" i="34"/>
  <c r="P9" i="34" s="1"/>
  <c r="R9" i="34" s="1"/>
  <c r="O11" i="34"/>
  <c r="P11" i="34" s="1"/>
  <c r="R11" i="34" s="1"/>
  <c r="AB11" i="34" s="1"/>
  <c r="AD11" i="34" s="1"/>
  <c r="O10" i="34"/>
  <c r="P10" i="34" s="1"/>
  <c r="R10" i="34" s="1"/>
  <c r="AB10" i="34" s="1"/>
  <c r="AD10" i="34" s="1"/>
  <c r="O14" i="34"/>
  <c r="P14" i="34" s="1"/>
  <c r="R14" i="34" s="1"/>
  <c r="AB14" i="34" s="1"/>
  <c r="AD14" i="34" s="1"/>
  <c r="O15" i="3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8" i="34" l="1"/>
  <c r="P20" i="34" s="1"/>
  <c r="AB9" i="34"/>
  <c r="R18" i="34"/>
  <c r="R20" i="34" s="1"/>
  <c r="P10" i="29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D9" i="34" l="1"/>
  <c r="AB16" i="34"/>
  <c r="AF18" i="32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N18" i="24" l="1"/>
  <c r="F10" i="26"/>
  <c r="G10" i="26" s="1"/>
  <c r="P10" i="26" s="1"/>
  <c r="F12" i="26"/>
  <c r="G12" i="26" s="1"/>
  <c r="J12" i="26" s="1"/>
  <c r="F9" i="26"/>
  <c r="G9" i="26" s="1"/>
  <c r="P9" i="26" s="1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M11" i="17"/>
  <c r="N11" i="17" s="1"/>
  <c r="J8" i="21"/>
  <c r="K8" i="21" s="1"/>
  <c r="P9" i="21" s="1"/>
  <c r="J16" i="21"/>
  <c r="K16" i="21" s="1"/>
  <c r="P17" i="21" s="1"/>
  <c r="M14" i="17" l="1"/>
  <c r="N14" i="17" s="1"/>
  <c r="I13" i="17"/>
  <c r="I11" i="17"/>
  <c r="J10" i="26"/>
  <c r="P12" i="26"/>
  <c r="J9" i="26"/>
  <c r="S10" i="26"/>
  <c r="T10" i="26" s="1"/>
  <c r="S12" i="26"/>
  <c r="S9" i="26"/>
  <c r="T9" i="26" s="1"/>
  <c r="F11" i="26"/>
  <c r="G11" i="26" s="1"/>
  <c r="F14" i="26"/>
  <c r="G14" i="26" s="1"/>
  <c r="P14" i="26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T10" i="34" l="1"/>
  <c r="AG10" i="34" s="1"/>
  <c r="AH10" i="34" s="1"/>
  <c r="V10" i="34" s="1"/>
  <c r="T14" i="34"/>
  <c r="AG14" i="34" s="1"/>
  <c r="AH14" i="34" s="1"/>
  <c r="V14" i="34" s="1"/>
  <c r="T15" i="34"/>
  <c r="AG15" i="34" s="1"/>
  <c r="AH15" i="34" s="1"/>
  <c r="V15" i="34" s="1"/>
  <c r="T13" i="34"/>
  <c r="AG13" i="34" s="1"/>
  <c r="AH13" i="34" s="1"/>
  <c r="V13" i="34" s="1"/>
  <c r="T9" i="34"/>
  <c r="AG9" i="34" s="1"/>
  <c r="AH9" i="34" s="1"/>
  <c r="V9" i="34" s="1"/>
  <c r="T12" i="34"/>
  <c r="AG12" i="34" s="1"/>
  <c r="AH12" i="34" s="1"/>
  <c r="V12" i="34" s="1"/>
  <c r="T12" i="26"/>
  <c r="J11" i="26"/>
  <c r="K11" i="26" s="1"/>
  <c r="H11" i="26" s="1"/>
  <c r="P11" i="26"/>
  <c r="S11" i="26"/>
  <c r="T11" i="34"/>
  <c r="J14" i="26"/>
  <c r="S14" i="26"/>
  <c r="T14" i="26" s="1"/>
  <c r="F8" i="26"/>
  <c r="F13" i="26"/>
  <c r="G13" i="26" s="1"/>
  <c r="P20" i="21"/>
  <c r="L8" i="21" s="1"/>
  <c r="M8" i="21" s="1"/>
  <c r="M12" i="26" l="1"/>
  <c r="N12" i="26" s="1"/>
  <c r="I11" i="26"/>
  <c r="M11" i="26"/>
  <c r="N11" i="26" s="1"/>
  <c r="T11" i="26"/>
  <c r="AG11" i="34"/>
  <c r="AH11" i="34" s="1"/>
  <c r="V11" i="34" s="1"/>
  <c r="V18" i="34" s="1"/>
  <c r="T18" i="34"/>
  <c r="P13" i="26"/>
  <c r="S13" i="26"/>
  <c r="J13" i="26"/>
  <c r="K14" i="26" s="1"/>
  <c r="H13" i="26" s="1"/>
  <c r="M13" i="26" s="1"/>
  <c r="N13" i="26" s="1"/>
  <c r="G8" i="26"/>
  <c r="F15" i="26"/>
  <c r="F17" i="26" s="1"/>
  <c r="M16" i="2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T13" i="26" l="1"/>
  <c r="I13" i="26"/>
  <c r="M14" i="26"/>
  <c r="N14" i="26" s="1"/>
  <c r="P8" i="26"/>
  <c r="P15" i="26" s="1"/>
  <c r="S8" i="26"/>
  <c r="J8" i="26"/>
  <c r="K9" i="26" s="1"/>
  <c r="H8" i="26" s="1"/>
  <c r="N17" i="2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S15" i="26" l="1"/>
  <c r="T8" i="26"/>
  <c r="M8" i="26"/>
  <c r="N8" i="26" s="1"/>
  <c r="M9" i="26"/>
  <c r="N9" i="26" s="1"/>
  <c r="M10" i="26"/>
  <c r="N10" i="26" s="1"/>
  <c r="I8" i="26"/>
  <c r="F17" i="23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Казенцева О.И.</author>
  </authors>
  <commentList>
    <comment ref="S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Казенцева О.И.</author>
  </authors>
  <commentList>
    <comment ref="P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4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<sst xmlns="http://schemas.openxmlformats.org/spreadsheetml/2006/main" count="501" uniqueCount="169">
  <si>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</si>
  <si>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</si>
  <si>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</si>
  <si>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</si>
  <si>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</si>
  <si>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</si>
  <si>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</si>
  <si>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</si>
  <si>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</si>
  <si>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</si>
  <si>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</si>
  <si>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</si>
  <si>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</si>
  <si>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</si>
  <si>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</si>
  <si>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</si>
  <si>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</si>
  <si>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</si>
  <si>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</si>
  <si>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</si>
  <si>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</si>
  <si>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</si>
  <si>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</si>
  <si>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</si>
  <si>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</si>
  <si>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</si>
  <si>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</si>
  <si>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</si>
  <si>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</si>
  <si>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</si>
  <si>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</si>
  <si>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</si>
  <si>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</si>
  <si>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</si>
  <si>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</si>
  <si>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</si>
  <si>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</si>
  <si>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</si>
  <si>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</si>
  <si>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</si>
  <si>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</si>
  <si>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</si>
  <si>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</si>
  <si>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</si>
  <si>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</si>
  <si>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</si>
  <si>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</si>
  <si>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</si>
  <si>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</si>
  <si>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</si>
  <si>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</si>
  <si>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</si>
  <si>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</si>
  <si>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</si>
  <si>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</si>
  <si>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</si>
  <si>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</si>
  <si>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</si>
  <si>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</si>
  <si>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</si>
  <si>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Город областного значения и районы</t>
  </si>
  <si>
    <t>№ на</t>
  </si>
  <si>
    <t>карте</t>
  </si>
  <si>
    <t>Название</t>
  </si>
  <si>
    <t>Флаг</t>
  </si>
  <si>
    <t>Герб</t>
  </si>
  <si>
    <t>Код</t>
  </si>
  <si>
    <t>ОКАТО</t>
  </si>
  <si>
    <t>Население,</t>
  </si>
  <si>
    <t>чел.</t>
  </si>
  <si>
    <t>Территория,</t>
  </si>
  <si>
    <r>
      <t>км²</t>
    </r>
    <r>
      <rPr>
        <b/>
        <vertAlign val="superscript"/>
        <sz val="10"/>
        <rFont val="Arial"/>
        <family val="2"/>
        <charset val="204"/>
      </rPr>
      <t>[2][3]</t>
    </r>
  </si>
  <si>
    <t>Плотность,</t>
  </si>
  <si>
    <t>чел./км²</t>
  </si>
  <si>
    <t>Административный</t>
  </si>
  <si>
    <t>центр</t>
  </si>
  <si>
    <t>Город областного значения</t>
  </si>
  <si>
    <t>Магадан</t>
  </si>
  <si>
    <t>44 401</t>
  </si>
  <si>
    <t>↗99 683[4]</t>
  </si>
  <si>
    <t>Районы</t>
  </si>
  <si>
    <t>Ольский</t>
  </si>
  <si>
    <t>44 201</t>
  </si>
  <si>
    <t>↘9913[4]</t>
  </si>
  <si>
    <t>Ола</t>
  </si>
  <si>
    <t>Омсукчанский</t>
  </si>
  <si>
    <t>44 204</t>
  </si>
  <si>
    <t>↘5053[4]</t>
  </si>
  <si>
    <t>Омсукчан</t>
  </si>
  <si>
    <t>Северо-Эвенский</t>
  </si>
  <si>
    <t>44 207</t>
  </si>
  <si>
    <t>↘1968[4]</t>
  </si>
  <si>
    <t>Эвенск</t>
  </si>
  <si>
    <t>Среднеканский</t>
  </si>
  <si>
    <t>44 210</t>
  </si>
  <si>
    <t>↘2293[4]</t>
  </si>
  <si>
    <t>Сеймчан</t>
  </si>
  <si>
    <t>Сусуманский</t>
  </si>
  <si>
    <t>44 213</t>
  </si>
  <si>
    <t>↘7404[4]</t>
  </si>
  <si>
    <t>Сусуман</t>
  </si>
  <si>
    <t>Тенькинский</t>
  </si>
  <si>
    <t>44 216</t>
  </si>
  <si>
    <t>↘3995[4]</t>
  </si>
  <si>
    <t>Усть-Омчуг</t>
  </si>
  <si>
    <t>Хасынский</t>
  </si>
  <si>
    <t>44 219</t>
  </si>
  <si>
    <t>↘6462[4]</t>
  </si>
  <si>
    <t>Палатка</t>
  </si>
  <si>
    <t>Ягоднинский</t>
  </si>
  <si>
    <t>44 222</t>
  </si>
  <si>
    <t>↘7320[4]</t>
  </si>
  <si>
    <t>Ягодное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</si>
  <si>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</si>
  <si>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</si>
  <si>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</si>
  <si>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</si>
  <si>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</si>
  <si>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</si>
  <si>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</si>
  <si>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</si>
  <si>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</si>
  <si>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</si>
  <si>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</si>
  <si>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</si>
  <si>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</si>
  <si>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</si>
  <si>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</si>
  <si>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</si>
  <si>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</si>
  <si>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</si>
  <si>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</si>
  <si>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</si>
  <si>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</si>
  <si>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t>КС</t>
  </si>
  <si>
    <t>ДС</t>
  </si>
  <si>
    <t xml:space="preserve">ИТОГО 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</si>
  <si>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</si>
  <si>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</si>
  <si>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</si>
  <si>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</si>
  <si>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Численность прикрепленных, застрахованных лиц                                              на 01.12.18 (чел.)</t>
  </si>
  <si>
    <r>
      <t>КД</t>
    </r>
    <r>
      <rPr>
        <b/>
        <sz val="9"/>
        <rFont val="Times New Roman"/>
        <family val="1"/>
        <charset val="204"/>
      </rPr>
      <t>ЗП</t>
    </r>
  </si>
  <si>
    <t xml:space="preserve">Коэффициент, учитывающий достижение целевых показателей уровня заработной платы медицинских работников, установленных "дорожными картами"
</t>
  </si>
  <si>
    <t>на 2019 год</t>
  </si>
  <si>
    <r>
      <t>КД</t>
    </r>
    <r>
      <rPr>
        <b/>
        <sz val="9"/>
        <rFont val="Times New Roman"/>
        <family val="1"/>
        <charset val="204"/>
      </rPr>
      <t>сп(АМП/ФАП)</t>
    </r>
  </si>
  <si>
    <t>АМП ПОСЕЩ</t>
  </si>
  <si>
    <t>АМП ОБРАЩ</t>
  </si>
  <si>
    <t>РАСЧЕТ СРЕДНИХ ГРУППОВЫХ ТАРИФОВ НА ПОСЕЩЕНИЕ, ОБРАЩЕНИЕ ПО ЗАБОЛЕВАНИЮ   НА 2019 ГОД</t>
  </si>
  <si>
    <t>Объем финансового обеспечения  медицинской организации, оказывающей АМП по подушевому финансированию на год</t>
  </si>
  <si>
    <t>профилактика</t>
  </si>
  <si>
    <t>обращения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</si>
  <si>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</si>
  <si>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01.03.2019</t>
  </si>
  <si>
    <t xml:space="preserve"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 </t>
  </si>
  <si>
    <t>на 2020 год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</si>
  <si>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</si>
  <si>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</si>
  <si>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</si>
  <si>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ОТ</t>
    </r>
  </si>
  <si>
    <t xml:space="preserve">Коэффициент подуровня
</t>
  </si>
  <si>
    <t>МОГБУЗ "МСЧ "Авиамедицина"</t>
  </si>
  <si>
    <t>Численность прикрепленных, застрахованных лиц                                              на 01.10.20 (чел.)</t>
  </si>
  <si>
    <t>ОГБУЗ "Магаданский родильный дом"</t>
  </si>
  <si>
    <t>Приложение № 1</t>
  </si>
  <si>
    <r>
  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(</t>
    </r>
    <r>
      <rPr>
        <b/>
        <u/>
        <sz val="18"/>
        <color rgb="FF0000FF"/>
        <rFont val="Times New Roman"/>
        <family val="1"/>
        <charset val="204"/>
      </rPr>
      <t>вступает в действие с 01 декабря 2020 года</t>
    </r>
    <r>
      <rPr>
        <b/>
        <sz val="18"/>
        <color rgb="FF0000FF"/>
        <rFont val="Times New Roman"/>
        <family val="1"/>
        <charset val="204"/>
      </rPr>
      <t>)</t>
    </r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</si>
  <si>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01.12.2020</t>
  </si>
  <si>
    <t>к Дополнительному соглашение № 12</t>
  </si>
  <si>
    <t>от 23 декабря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</si>
</sst>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"/>
    <numFmt numFmtId="170" formatCode="_-* #,##0_р_._-;\-* #,##0_р_._-;_-* &quot;-&quot;??_р_._-;_-@_-"/>
    <numFmt numFmtId="171" formatCode="#,##0.0000"/>
    <numFmt numFmtId="172" formatCode="_-* #,##0.00_р_._-;\-* #,##0.00_р_._-;_-* &quot;-&quot;???_р_._-;_-@_-"/>
    <numFmt numFmtId="173" formatCode="_-* #,##0.0_р_._-;\-* #,##0.0_р_._-;_-* &quot;-&quot;??_р_._-;_-@_-"/>
    <numFmt numFmtId="174" formatCode="#,##0.00000"/>
    <numFmt numFmtId="175" formatCode="#,##0.000000"/>
    <numFmt numFmtId="176" formatCode="_-* #,##0.000_р_._-;\-* #,##0.000_р_._-;_-* &quot;-&quot;??_р_._-;_-@_-"/>
    <numFmt numFmtId="177" formatCode="0.000000"/>
    <numFmt numFmtId="178" formatCode="_-* #,##0.0_р_._-;\-* #,##0.0_р_._-;_-* &quot;-&quot;?_р_._-;_-@_-"/>
  </numFmts>
  <fonts count="6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3.5"/>
      <name val="Arial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8"/>
      <color rgb="FF0000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6EA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3">
    <xf numFmtId="0" fontId="0" fillId="0" borderId="0"/>
    <xf numFmtId="0" fontId="12" fillId="0" borderId="0"/>
    <xf numFmtId="166" fontId="12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9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34" fillId="0" borderId="0"/>
    <xf numFmtId="0" fontId="11" fillId="0" borderId="0"/>
    <xf numFmtId="166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34" fillId="0" borderId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4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</cellStyleXfs>
  <cellXfs count="367">
    <xf numFmtId="0" fontId="0" fillId="0" borderId="0" xfId="0"/>
    <xf numFmtId="0" fontId="20" fillId="2" borderId="0" xfId="1" applyFont="1" applyFill="1" applyAlignment="1">
      <alignment wrapText="1"/>
    </xf>
    <xf numFmtId="0" fontId="23" fillId="2" borderId="0" xfId="1" applyFont="1" applyFill="1" applyAlignment="1">
      <alignment horizontal="center" wrapText="1"/>
    </xf>
    <xf numFmtId="0" fontId="20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1" fontId="24" fillId="2" borderId="1" xfId="1" applyNumberFormat="1" applyFont="1" applyFill="1" applyBorder="1" applyAlignment="1">
      <alignment horizontal="center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1" fontId="25" fillId="2" borderId="3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0" fontId="28" fillId="2" borderId="0" xfId="1" applyFont="1" applyFill="1" applyAlignment="1">
      <alignment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wrapText="1"/>
    </xf>
    <xf numFmtId="170" fontId="27" fillId="2" borderId="1" xfId="2" applyNumberFormat="1" applyFont="1" applyFill="1" applyBorder="1" applyAlignment="1">
      <alignment wrapText="1"/>
    </xf>
    <xf numFmtId="0" fontId="20" fillId="2" borderId="0" xfId="1" applyFont="1" applyFill="1" applyBorder="1" applyAlignment="1">
      <alignment horizontal="left" wrapText="1"/>
    </xf>
    <xf numFmtId="166" fontId="20" fillId="2" borderId="0" xfId="2" applyFont="1" applyFill="1" applyAlignment="1">
      <alignment wrapText="1"/>
    </xf>
    <xf numFmtId="2" fontId="20" fillId="2" borderId="1" xfId="1" applyNumberFormat="1" applyFont="1" applyFill="1" applyBorder="1" applyAlignment="1">
      <alignment wrapText="1"/>
    </xf>
    <xf numFmtId="166" fontId="20" fillId="2" borderId="0" xfId="1" applyNumberFormat="1" applyFont="1" applyFill="1" applyAlignment="1">
      <alignment wrapText="1"/>
    </xf>
    <xf numFmtId="4" fontId="27" fillId="2" borderId="1" xfId="2" applyNumberFormat="1" applyFont="1" applyFill="1" applyBorder="1" applyAlignment="1">
      <alignment horizontal="center" wrapText="1"/>
    </xf>
    <xf numFmtId="166" fontId="27" fillId="2" borderId="1" xfId="2" applyNumberFormat="1" applyFont="1" applyFill="1" applyBorder="1" applyAlignment="1">
      <alignment wrapText="1"/>
    </xf>
    <xf numFmtId="0" fontId="20" fillId="2" borderId="1" xfId="1" applyFont="1" applyFill="1" applyBorder="1" applyAlignment="1">
      <alignment horizontal="center" wrapText="1"/>
    </xf>
    <xf numFmtId="0" fontId="20" fillId="2" borderId="0" xfId="1" applyFont="1" applyFill="1" applyBorder="1" applyAlignment="1">
      <alignment wrapText="1"/>
    </xf>
    <xf numFmtId="0" fontId="13" fillId="2" borderId="3" xfId="1" applyFont="1" applyFill="1" applyBorder="1" applyAlignment="1">
      <alignment horizontal="center" vertical="center" wrapText="1"/>
    </xf>
    <xf numFmtId="166" fontId="20" fillId="2" borderId="0" xfId="1" applyNumberFormat="1" applyFont="1" applyFill="1" applyBorder="1" applyAlignment="1">
      <alignment horizontal="left" wrapText="1"/>
    </xf>
    <xf numFmtId="166" fontId="27" fillId="2" borderId="3" xfId="2" applyNumberFormat="1" applyFont="1" applyFill="1" applyBorder="1" applyAlignment="1">
      <alignment horizontal="right" wrapText="1"/>
    </xf>
    <xf numFmtId="4" fontId="20" fillId="2" borderId="0" xfId="1" applyNumberFormat="1" applyFont="1" applyFill="1" applyBorder="1" applyAlignment="1">
      <alignment horizontal="right" wrapText="1"/>
    </xf>
    <xf numFmtId="0" fontId="20" fillId="2" borderId="0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4" fontId="26" fillId="2" borderId="0" xfId="2" applyNumberFormat="1" applyFont="1" applyFill="1" applyBorder="1" applyAlignment="1">
      <alignment vertical="center" wrapText="1"/>
    </xf>
    <xf numFmtId="170" fontId="26" fillId="2" borderId="0" xfId="2" applyNumberFormat="1" applyFont="1" applyFill="1" applyBorder="1" applyAlignment="1">
      <alignment wrapText="1"/>
    </xf>
    <xf numFmtId="4" fontId="27" fillId="2" borderId="0" xfId="2" applyNumberFormat="1" applyFont="1" applyFill="1" applyBorder="1" applyAlignment="1">
      <alignment horizontal="center" wrapText="1"/>
    </xf>
    <xf numFmtId="0" fontId="28" fillId="2" borderId="0" xfId="1" applyFont="1" applyFill="1" applyBorder="1" applyAlignment="1">
      <alignment wrapText="1"/>
    </xf>
    <xf numFmtId="170" fontId="27" fillId="2" borderId="0" xfId="2" applyNumberFormat="1" applyFont="1" applyFill="1" applyBorder="1" applyAlignment="1">
      <alignment wrapText="1"/>
    </xf>
    <xf numFmtId="166" fontId="27" fillId="2" borderId="0" xfId="2" applyNumberFormat="1" applyFont="1" applyFill="1" applyBorder="1" applyAlignment="1">
      <alignment wrapText="1"/>
    </xf>
    <xf numFmtId="4" fontId="26" fillId="2" borderId="1" xfId="2" applyNumberFormat="1" applyFont="1" applyFill="1" applyBorder="1" applyAlignment="1">
      <alignment horizontal="center" wrapText="1"/>
    </xf>
    <xf numFmtId="0" fontId="31" fillId="2" borderId="0" xfId="1" applyFont="1" applyFill="1" applyAlignment="1">
      <alignment wrapText="1"/>
    </xf>
    <xf numFmtId="172" fontId="31" fillId="2" borderId="0" xfId="1" applyNumberFormat="1" applyFont="1" applyFill="1" applyAlignment="1">
      <alignment wrapText="1"/>
    </xf>
    <xf numFmtId="166" fontId="31" fillId="2" borderId="0" xfId="1" applyNumberFormat="1" applyFont="1" applyFill="1" applyAlignment="1">
      <alignment wrapText="1"/>
    </xf>
    <xf numFmtId="4" fontId="20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8" fillId="2" borderId="0" xfId="1" applyFont="1" applyFill="1" applyBorder="1" applyAlignment="1">
      <alignment horizontal="center" vertical="center" wrapText="1"/>
    </xf>
    <xf numFmtId="172" fontId="32" fillId="2" borderId="0" xfId="1" applyNumberFormat="1" applyFont="1" applyFill="1" applyAlignment="1">
      <alignment wrapText="1"/>
    </xf>
    <xf numFmtId="3" fontId="26" fillId="2" borderId="1" xfId="2" applyNumberFormat="1" applyFont="1" applyFill="1" applyBorder="1" applyAlignment="1">
      <alignment horizontal="center" wrapText="1"/>
    </xf>
    <xf numFmtId="166" fontId="26" fillId="2" borderId="1" xfId="2" applyNumberFormat="1" applyFont="1" applyFill="1" applyBorder="1" applyAlignment="1">
      <alignment wrapText="1"/>
    </xf>
    <xf numFmtId="0" fontId="23" fillId="2" borderId="0" xfId="1" applyFont="1" applyFill="1" applyBorder="1" applyAlignment="1">
      <alignment horizontal="center" vertical="center" wrapText="1"/>
    </xf>
    <xf numFmtId="3" fontId="13" fillId="2" borderId="0" xfId="1" applyNumberFormat="1" applyFont="1" applyFill="1" applyBorder="1" applyAlignment="1">
      <alignment horizontal="center" vertical="center" wrapText="1"/>
    </xf>
    <xf numFmtId="3" fontId="31" fillId="2" borderId="0" xfId="1" applyNumberFormat="1" applyFont="1" applyFill="1" applyAlignment="1">
      <alignment wrapText="1"/>
    </xf>
    <xf numFmtId="169" fontId="26" fillId="2" borderId="0" xfId="2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Border="1" applyAlignment="1">
      <alignment wrapText="1"/>
    </xf>
    <xf numFmtId="173" fontId="20" fillId="2" borderId="0" xfId="1" applyNumberFormat="1" applyFont="1" applyFill="1" applyBorder="1" applyAlignment="1">
      <alignment wrapText="1"/>
    </xf>
    <xf numFmtId="4" fontId="20" fillId="2" borderId="0" xfId="1" applyNumberFormat="1" applyFont="1" applyFill="1" applyBorder="1" applyAlignment="1">
      <alignment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168" fontId="20" fillId="2" borderId="0" xfId="1" applyNumberFormat="1" applyFont="1" applyFill="1" applyAlignment="1">
      <alignment wrapText="1"/>
    </xf>
    <xf numFmtId="2" fontId="20" fillId="2" borderId="0" xfId="1" applyNumberFormat="1" applyFont="1" applyFill="1" applyAlignment="1">
      <alignment wrapText="1"/>
    </xf>
    <xf numFmtId="4" fontId="14" fillId="2" borderId="0" xfId="1" applyNumberFormat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167" fontId="27" fillId="2" borderId="0" xfId="2" applyNumberFormat="1" applyFont="1" applyFill="1" applyBorder="1" applyAlignment="1">
      <alignment vertical="center" wrapText="1"/>
    </xf>
    <xf numFmtId="166" fontId="27" fillId="2" borderId="1" xfId="2" applyNumberFormat="1" applyFont="1" applyFill="1" applyBorder="1" applyAlignment="1">
      <alignment horizontal="right" wrapText="1"/>
    </xf>
    <xf numFmtId="170" fontId="20" fillId="2" borderId="1" xfId="2" applyNumberFormat="1" applyFont="1" applyFill="1" applyBorder="1" applyAlignment="1">
      <alignment wrapText="1"/>
    </xf>
    <xf numFmtId="167" fontId="20" fillId="2" borderId="1" xfId="2" applyNumberFormat="1" applyFont="1" applyFill="1" applyBorder="1" applyAlignment="1">
      <alignment horizontal="center" wrapText="1"/>
    </xf>
    <xf numFmtId="4" fontId="28" fillId="2" borderId="1" xfId="2" applyNumberFormat="1" applyFont="1" applyFill="1" applyBorder="1" applyAlignment="1">
      <alignment horizontal="center" wrapText="1"/>
    </xf>
    <xf numFmtId="166" fontId="28" fillId="2" borderId="1" xfId="2" applyFont="1" applyFill="1" applyBorder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70" fontId="28" fillId="2" borderId="1" xfId="2" applyNumberFormat="1" applyFont="1" applyFill="1" applyBorder="1" applyAlignment="1">
      <alignment wrapText="1"/>
    </xf>
    <xf numFmtId="166" fontId="28" fillId="2" borderId="1" xfId="2" applyNumberFormat="1" applyFont="1" applyFill="1" applyBorder="1" applyAlignment="1">
      <alignment wrapText="1"/>
    </xf>
    <xf numFmtId="170" fontId="28" fillId="2" borderId="1" xfId="2" applyNumberFormat="1" applyFont="1" applyFill="1" applyBorder="1" applyAlignment="1">
      <alignment horizontal="right" wrapText="1"/>
    </xf>
    <xf numFmtId="174" fontId="28" fillId="2" borderId="1" xfId="2" applyNumberFormat="1" applyFont="1" applyFill="1" applyBorder="1" applyAlignment="1">
      <alignment wrapText="1"/>
    </xf>
    <xf numFmtId="174" fontId="20" fillId="2" borderId="0" xfId="1" applyNumberFormat="1" applyFont="1" applyFill="1" applyBorder="1" applyAlignment="1">
      <alignment wrapText="1"/>
    </xf>
    <xf numFmtId="166" fontId="32" fillId="2" borderId="0" xfId="1" applyNumberFormat="1" applyFont="1" applyFill="1" applyAlignment="1">
      <alignment wrapText="1"/>
    </xf>
    <xf numFmtId="175" fontId="20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/>
    <xf numFmtId="0" fontId="16" fillId="0" borderId="0" xfId="38" applyFont="1"/>
    <xf numFmtId="0" fontId="15" fillId="0" borderId="0" xfId="38" applyFont="1" applyAlignment="1">
      <alignment vertical="center" wrapText="1"/>
    </xf>
    <xf numFmtId="0" fontId="36" fillId="2" borderId="3" xfId="39" applyFont="1" applyFill="1" applyBorder="1" applyAlignment="1">
      <alignment horizontal="center" vertical="center" wrapText="1"/>
    </xf>
    <xf numFmtId="0" fontId="19" fillId="2" borderId="3" xfId="39" applyFont="1" applyFill="1" applyBorder="1" applyAlignment="1">
      <alignment horizontal="center" vertical="center" wrapText="1"/>
    </xf>
    <xf numFmtId="0" fontId="19" fillId="0" borderId="0" xfId="38" applyFont="1"/>
    <xf numFmtId="0" fontId="35" fillId="2" borderId="3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wrapText="1"/>
    </xf>
    <xf numFmtId="3" fontId="35" fillId="2" borderId="3" xfId="39" applyNumberFormat="1" applyFont="1" applyFill="1" applyBorder="1" applyAlignment="1">
      <alignment wrapText="1"/>
    </xf>
    <xf numFmtId="3" fontId="16" fillId="2" borderId="3" xfId="39" applyNumberFormat="1" applyFont="1" applyFill="1" applyBorder="1" applyAlignment="1">
      <alignment wrapText="1"/>
    </xf>
    <xf numFmtId="166" fontId="35" fillId="2" borderId="3" xfId="40" applyNumberFormat="1" applyFont="1" applyFill="1" applyBorder="1" applyAlignment="1">
      <alignment horizontal="right" wrapText="1"/>
    </xf>
    <xf numFmtId="176" fontId="35" fillId="2" borderId="3" xfId="40" applyNumberFormat="1" applyFont="1" applyFill="1" applyBorder="1" applyAlignment="1">
      <alignment horizontal="right" wrapText="1"/>
    </xf>
    <xf numFmtId="0" fontId="35" fillId="2" borderId="1" xfId="39" applyFont="1" applyFill="1" applyBorder="1" applyAlignment="1">
      <alignment wrapText="1"/>
    </xf>
    <xf numFmtId="0" fontId="37" fillId="2" borderId="1" xfId="39" applyFont="1" applyFill="1" applyBorder="1" applyAlignment="1">
      <alignment horizontal="center" vertical="center" wrapText="1"/>
    </xf>
    <xf numFmtId="0" fontId="37" fillId="2" borderId="1" xfId="39" applyFont="1" applyFill="1" applyBorder="1" applyAlignment="1">
      <alignment wrapText="1"/>
    </xf>
    <xf numFmtId="170" fontId="37" fillId="2" borderId="3" xfId="40" applyNumberFormat="1" applyFont="1" applyFill="1" applyBorder="1" applyAlignment="1">
      <alignment horizontal="right" wrapText="1"/>
    </xf>
    <xf numFmtId="3" fontId="37" fillId="2" borderId="1" xfId="40" applyNumberFormat="1" applyFont="1" applyFill="1" applyBorder="1" applyAlignment="1">
      <alignment horizontal="right" wrapText="1"/>
    </xf>
    <xf numFmtId="166" fontId="37" fillId="2" borderId="3" xfId="40" applyNumberFormat="1" applyFont="1" applyFill="1" applyBorder="1" applyAlignment="1">
      <alignment horizontal="right" wrapText="1"/>
    </xf>
    <xf numFmtId="166" fontId="37" fillId="2" borderId="3" xfId="40" applyNumberFormat="1" applyFont="1" applyFill="1" applyBorder="1" applyAlignment="1">
      <alignment wrapText="1"/>
    </xf>
    <xf numFmtId="3" fontId="16" fillId="0" borderId="0" xfId="38" applyNumberFormat="1" applyFont="1"/>
    <xf numFmtId="172" fontId="20" fillId="2" borderId="0" xfId="1" applyNumberFormat="1" applyFont="1" applyFill="1" applyAlignment="1">
      <alignment wrapText="1"/>
    </xf>
    <xf numFmtId="4" fontId="27" fillId="2" borderId="2" xfId="2" applyNumberFormat="1" applyFont="1" applyFill="1" applyBorder="1" applyAlignment="1">
      <alignment horizontal="right" wrapText="1"/>
    </xf>
    <xf numFmtId="167" fontId="33" fillId="2" borderId="4" xfId="2" applyNumberFormat="1" applyFont="1" applyFill="1" applyBorder="1" applyAlignment="1">
      <alignment horizontal="center" wrapText="1"/>
    </xf>
    <xf numFmtId="167" fontId="32" fillId="2" borderId="4" xfId="2" applyNumberFormat="1" applyFont="1" applyFill="1" applyBorder="1" applyAlignment="1">
      <alignment horizontal="center" wrapText="1"/>
    </xf>
    <xf numFmtId="4" fontId="28" fillId="2" borderId="6" xfId="2" applyNumberFormat="1" applyFont="1" applyFill="1" applyBorder="1" applyAlignment="1">
      <alignment horizontal="center" wrapText="1"/>
    </xf>
    <xf numFmtId="167" fontId="31" fillId="2" borderId="4" xfId="2" applyNumberFormat="1" applyFont="1" applyFill="1" applyBorder="1" applyAlignment="1">
      <alignment horizontal="center" wrapText="1"/>
    </xf>
    <xf numFmtId="3" fontId="19" fillId="0" borderId="0" xfId="38" applyNumberFormat="1" applyFont="1"/>
    <xf numFmtId="2" fontId="19" fillId="0" borderId="0" xfId="38" applyNumberFormat="1" applyFont="1"/>
    <xf numFmtId="1" fontId="16" fillId="0" borderId="0" xfId="38" applyNumberFormat="1" applyFont="1"/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 wrapText="1"/>
    </xf>
    <xf numFmtId="4" fontId="39" fillId="2" borderId="1" xfId="2" applyNumberFormat="1" applyFont="1" applyFill="1" applyBorder="1" applyAlignment="1">
      <alignment vertical="center" wrapText="1"/>
    </xf>
    <xf numFmtId="4" fontId="27" fillId="2" borderId="0" xfId="2" applyNumberFormat="1" applyFont="1" applyFill="1" applyBorder="1" applyAlignment="1">
      <alignment horizontal="right" wrapText="1"/>
    </xf>
    <xf numFmtId="166" fontId="13" fillId="2" borderId="0" xfId="1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167" fontId="32" fillId="2" borderId="1" xfId="2" applyNumberFormat="1" applyFont="1" applyFill="1" applyBorder="1" applyAlignment="1">
      <alignment horizontal="center" wrapText="1"/>
    </xf>
    <xf numFmtId="4" fontId="38" fillId="2" borderId="3" xfId="2" applyNumberFormat="1" applyFont="1" applyFill="1" applyBorder="1" applyAlignment="1">
      <alignment vertical="center" wrapText="1"/>
    </xf>
    <xf numFmtId="3" fontId="13" fillId="2" borderId="0" xfId="1" applyNumberFormat="1" applyFont="1" applyFill="1" applyAlignment="1">
      <alignment wrapText="1"/>
    </xf>
    <xf numFmtId="4" fontId="13" fillId="2" borderId="0" xfId="1" applyNumberFormat="1" applyFont="1" applyFill="1" applyAlignment="1">
      <alignment wrapText="1"/>
    </xf>
    <xf numFmtId="1" fontId="13" fillId="2" borderId="0" xfId="1" applyNumberFormat="1" applyFont="1" applyFill="1" applyAlignment="1">
      <alignment wrapText="1"/>
    </xf>
    <xf numFmtId="1" fontId="20" fillId="2" borderId="0" xfId="1" applyNumberFormat="1" applyFont="1" applyFill="1" applyAlignment="1">
      <alignment wrapText="1"/>
    </xf>
    <xf numFmtId="177" fontId="20" fillId="2" borderId="0" xfId="1" applyNumberFormat="1" applyFont="1" applyFill="1" applyAlignment="1">
      <alignment wrapText="1"/>
    </xf>
    <xf numFmtId="2" fontId="31" fillId="2" borderId="0" xfId="1" applyNumberFormat="1" applyFont="1" applyFill="1" applyAlignment="1">
      <alignment wrapText="1"/>
    </xf>
    <xf numFmtId="167" fontId="31" fillId="2" borderId="1" xfId="2" applyNumberFormat="1" applyFont="1" applyFill="1" applyBorder="1" applyAlignment="1">
      <alignment horizontal="center" wrapText="1"/>
    </xf>
    <xf numFmtId="3" fontId="26" fillId="2" borderId="0" xfId="2" applyNumberFormat="1" applyFont="1" applyFill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horizontal="center" wrapText="1"/>
    </xf>
    <xf numFmtId="167" fontId="20" fillId="2" borderId="1" xfId="44" applyNumberFormat="1" applyFont="1" applyFill="1" applyBorder="1" applyAlignment="1">
      <alignment horizontal="center" wrapText="1"/>
    </xf>
    <xf numFmtId="171" fontId="20" fillId="2" borderId="1" xfId="2" applyNumberFormat="1" applyFont="1" applyFill="1" applyBorder="1" applyAlignment="1">
      <alignment horizontal="center" wrapText="1"/>
    </xf>
    <xf numFmtId="169" fontId="43" fillId="2" borderId="0" xfId="2" applyNumberFormat="1" applyFont="1" applyFill="1" applyBorder="1" applyAlignment="1">
      <alignment horizontal="center" vertical="center" wrapText="1"/>
    </xf>
    <xf numFmtId="1" fontId="44" fillId="2" borderId="0" xfId="1" applyNumberFormat="1" applyFont="1" applyFill="1" applyAlignment="1">
      <alignment vertical="center" wrapText="1"/>
    </xf>
    <xf numFmtId="171" fontId="13" fillId="2" borderId="1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wrapText="1"/>
    </xf>
    <xf numFmtId="0" fontId="44" fillId="2" borderId="0" xfId="1" applyFont="1" applyFill="1" applyAlignment="1">
      <alignment horizontal="center" wrapText="1"/>
    </xf>
    <xf numFmtId="4" fontId="44" fillId="2" borderId="0" xfId="1" applyNumberFormat="1" applyFont="1" applyFill="1" applyAlignment="1">
      <alignment wrapText="1"/>
    </xf>
    <xf numFmtId="168" fontId="28" fillId="2" borderId="0" xfId="1" applyNumberFormat="1" applyFont="1" applyFill="1" applyAlignment="1">
      <alignment wrapText="1"/>
    </xf>
    <xf numFmtId="171" fontId="45" fillId="2" borderId="1" xfId="2" applyNumberFormat="1" applyFont="1" applyFill="1" applyBorder="1" applyAlignment="1">
      <alignment horizontal="center" wrapText="1"/>
    </xf>
    <xf numFmtId="171" fontId="13" fillId="2" borderId="4" xfId="2" applyNumberFormat="1" applyFont="1" applyFill="1" applyBorder="1" applyAlignment="1">
      <alignment horizontal="center" wrapText="1"/>
    </xf>
    <xf numFmtId="4" fontId="46" fillId="2" borderId="0" xfId="1" applyNumberFormat="1" applyFont="1" applyFill="1" applyBorder="1" applyAlignment="1">
      <alignment wrapText="1"/>
    </xf>
    <xf numFmtId="172" fontId="31" fillId="2" borderId="9" xfId="1" applyNumberFormat="1" applyFont="1" applyFill="1" applyBorder="1" applyAlignment="1">
      <alignment wrapText="1"/>
    </xf>
    <xf numFmtId="166" fontId="32" fillId="2" borderId="9" xfId="1" applyNumberFormat="1" applyFont="1" applyFill="1" applyBorder="1" applyAlignment="1">
      <alignment wrapText="1"/>
    </xf>
    <xf numFmtId="166" fontId="31" fillId="2" borderId="9" xfId="1" applyNumberFormat="1" applyFont="1" applyFill="1" applyBorder="1" applyAlignment="1">
      <alignment wrapText="1"/>
    </xf>
    <xf numFmtId="172" fontId="31" fillId="2" borderId="0" xfId="1" applyNumberFormat="1" applyFont="1" applyFill="1" applyBorder="1" applyAlignment="1">
      <alignment wrapText="1"/>
    </xf>
    <xf numFmtId="0" fontId="31" fillId="2" borderId="0" xfId="1" applyFont="1" applyFill="1" applyBorder="1" applyAlignment="1">
      <alignment wrapText="1"/>
    </xf>
    <xf numFmtId="166" fontId="31" fillId="2" borderId="0" xfId="1" applyNumberFormat="1" applyFont="1" applyFill="1" applyBorder="1" applyAlignment="1">
      <alignment wrapText="1"/>
    </xf>
    <xf numFmtId="166" fontId="32" fillId="2" borderId="0" xfId="1" applyNumberFormat="1" applyFont="1" applyFill="1" applyBorder="1" applyAlignment="1">
      <alignment wrapText="1"/>
    </xf>
    <xf numFmtId="172" fontId="32" fillId="2" borderId="0" xfId="1" applyNumberFormat="1" applyFont="1" applyFill="1" applyBorder="1" applyAlignment="1">
      <alignment wrapText="1"/>
    </xf>
    <xf numFmtId="167" fontId="27" fillId="2" borderId="8" xfId="2" applyNumberFormat="1" applyFont="1" applyFill="1" applyBorder="1" applyAlignment="1">
      <alignment vertical="center" wrapText="1"/>
    </xf>
    <xf numFmtId="172" fontId="31" fillId="2" borderId="12" xfId="1" applyNumberFormat="1" applyFont="1" applyFill="1" applyBorder="1" applyAlignment="1">
      <alignment wrapText="1"/>
    </xf>
    <xf numFmtId="0" fontId="31" fillId="2" borderId="12" xfId="1" applyFont="1" applyFill="1" applyBorder="1" applyAlignment="1">
      <alignment wrapText="1"/>
    </xf>
    <xf numFmtId="166" fontId="31" fillId="2" borderId="12" xfId="1" applyNumberFormat="1" applyFont="1" applyFill="1" applyBorder="1" applyAlignment="1">
      <alignment wrapText="1"/>
    </xf>
    <xf numFmtId="0" fontId="4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1" fillId="0" borderId="0" xfId="46" applyAlignment="1">
      <alignment horizontal="center" vertical="center" wrapText="1"/>
    </xf>
    <xf numFmtId="14" fontId="49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1" fillId="0" borderId="0" xfId="46" applyAlignment="1">
      <alignment vertical="center" wrapText="1"/>
    </xf>
    <xf numFmtId="0" fontId="51" fillId="0" borderId="0" xfId="46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20" fillId="5" borderId="1" xfId="1" applyFont="1" applyFill="1" applyBorder="1" applyAlignment="1">
      <alignment horizontal="center" wrapText="1"/>
    </xf>
    <xf numFmtId="0" fontId="52" fillId="2" borderId="0" xfId="1" applyFont="1" applyFill="1" applyAlignment="1">
      <alignment wrapText="1"/>
    </xf>
    <xf numFmtId="4" fontId="33" fillId="2" borderId="0" xfId="1" applyNumberFormat="1" applyFont="1" applyFill="1" applyAlignment="1">
      <alignment wrapText="1"/>
    </xf>
    <xf numFmtId="0" fontId="20" fillId="5" borderId="1" xfId="1" applyFont="1" applyFill="1" applyBorder="1" applyAlignment="1">
      <alignment wrapText="1"/>
    </xf>
    <xf numFmtId="4" fontId="27" fillId="2" borderId="8" xfId="2" applyNumberFormat="1" applyFont="1" applyFill="1" applyBorder="1" applyAlignment="1">
      <alignment horizontal="right" wrapText="1"/>
    </xf>
    <xf numFmtId="4" fontId="27" fillId="2" borderId="11" xfId="2" applyNumberFormat="1" applyFont="1" applyFill="1" applyBorder="1" applyAlignment="1">
      <alignment horizontal="right" wrapText="1"/>
    </xf>
    <xf numFmtId="166" fontId="27" fillId="2" borderId="0" xfId="2" applyNumberFormat="1" applyFont="1" applyFill="1" applyBorder="1" applyAlignment="1">
      <alignment horizontal="right" wrapText="1"/>
    </xf>
    <xf numFmtId="4" fontId="27" fillId="2" borderId="10" xfId="2" applyNumberFormat="1" applyFont="1" applyFill="1" applyBorder="1" applyAlignment="1">
      <alignment horizontal="right" wrapText="1"/>
    </xf>
    <xf numFmtId="167" fontId="54" fillId="2" borderId="8" xfId="2" applyNumberFormat="1" applyFont="1" applyFill="1" applyBorder="1" applyAlignment="1">
      <alignment vertical="center" wrapText="1"/>
    </xf>
    <xf numFmtId="174" fontId="13" fillId="5" borderId="4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74" fontId="13" fillId="2" borderId="4" xfId="2" applyNumberFormat="1" applyFont="1" applyFill="1" applyBorder="1" applyAlignment="1">
      <alignment horizontal="center" wrapText="1"/>
    </xf>
    <xf numFmtId="167" fontId="55" fillId="2" borderId="8" xfId="2" applyNumberFormat="1" applyFont="1" applyFill="1" applyBorder="1" applyAlignment="1">
      <alignment vertical="center" wrapText="1"/>
    </xf>
    <xf numFmtId="167" fontId="32" fillId="2" borderId="2" xfId="2" applyNumberFormat="1" applyFont="1" applyFill="1" applyBorder="1" applyAlignment="1">
      <alignment horizontal="center" wrapText="1"/>
    </xf>
    <xf numFmtId="0" fontId="20" fillId="6" borderId="1" xfId="1" applyFont="1" applyFill="1" applyBorder="1" applyAlignment="1">
      <alignment horizontal="center" wrapText="1"/>
    </xf>
    <xf numFmtId="0" fontId="20" fillId="6" borderId="1" xfId="1" applyFont="1" applyFill="1" applyBorder="1" applyAlignment="1">
      <alignment wrapText="1"/>
    </xf>
    <xf numFmtId="174" fontId="13" fillId="6" borderId="4" xfId="2" applyNumberFormat="1" applyFont="1" applyFill="1" applyBorder="1" applyAlignment="1">
      <alignment horizont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wrapText="1"/>
    </xf>
    <xf numFmtId="4" fontId="42" fillId="2" borderId="0" xfId="1" applyNumberFormat="1" applyFont="1" applyFill="1" applyAlignment="1">
      <alignment wrapText="1"/>
    </xf>
    <xf numFmtId="4" fontId="28" fillId="2" borderId="0" xfId="1" applyNumberFormat="1" applyFont="1" applyFill="1" applyAlignment="1">
      <alignment wrapText="1"/>
    </xf>
    <xf numFmtId="4" fontId="56" fillId="2" borderId="0" xfId="1" applyNumberFormat="1" applyFont="1" applyFill="1" applyAlignment="1">
      <alignment wrapText="1"/>
    </xf>
    <xf numFmtId="0" fontId="28" fillId="2" borderId="0" xfId="1" applyFont="1" applyFill="1" applyAlignment="1">
      <alignment horizontal="right" wrapText="1"/>
    </xf>
    <xf numFmtId="4" fontId="57" fillId="2" borderId="0" xfId="1" applyNumberFormat="1" applyFont="1" applyFill="1" applyAlignment="1">
      <alignment wrapText="1"/>
    </xf>
    <xf numFmtId="1" fontId="25" fillId="2" borderId="1" xfId="55" applyNumberFormat="1" applyFont="1" applyFill="1" applyBorder="1" applyAlignment="1">
      <alignment horizontal="center" vertical="center" wrapText="1"/>
    </xf>
    <xf numFmtId="1" fontId="24" fillId="2" borderId="1" xfId="55" applyNumberFormat="1" applyFont="1" applyFill="1" applyBorder="1" applyAlignment="1">
      <alignment horizontal="center" vertical="center" wrapText="1"/>
    </xf>
    <xf numFmtId="171" fontId="45" fillId="2" borderId="0" xfId="2" applyNumberFormat="1" applyFont="1" applyFill="1" applyBorder="1" applyAlignment="1">
      <alignment horizontal="center" wrapText="1"/>
    </xf>
    <xf numFmtId="0" fontId="62" fillId="2" borderId="1" xfId="1" applyFont="1" applyFill="1" applyBorder="1" applyAlignment="1">
      <alignment wrapText="1"/>
    </xf>
    <xf numFmtId="171" fontId="31" fillId="2" borderId="1" xfId="2" applyNumberFormat="1" applyFont="1" applyFill="1" applyBorder="1" applyAlignment="1">
      <alignment horizontal="center" wrapText="1"/>
    </xf>
    <xf numFmtId="178" fontId="13" fillId="2" borderId="0" xfId="1" applyNumberFormat="1" applyFont="1" applyFill="1" applyBorder="1" applyAlignment="1">
      <alignment vertical="center" wrapText="1"/>
    </xf>
    <xf numFmtId="3" fontId="13" fillId="2" borderId="5" xfId="1" applyNumberFormat="1" applyFont="1" applyFill="1" applyBorder="1" applyAlignment="1">
      <alignment vertical="center" wrapText="1"/>
    </xf>
    <xf numFmtId="3" fontId="13" fillId="2" borderId="6" xfId="1" applyNumberFormat="1" applyFont="1" applyFill="1" applyBorder="1" applyAlignment="1">
      <alignment vertical="center" wrapText="1"/>
    </xf>
    <xf numFmtId="164" fontId="16" fillId="2" borderId="0" xfId="1" applyNumberFormat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6" fontId="58" fillId="2" borderId="1" xfId="2" applyNumberFormat="1" applyFont="1" applyFill="1" applyBorder="1" applyAlignment="1">
      <alignment wrapText="1"/>
    </xf>
    <xf numFmtId="166" fontId="63" fillId="2" borderId="0" xfId="1" applyNumberFormat="1" applyFont="1" applyFill="1" applyBorder="1" applyAlignment="1">
      <alignment horizontal="left" wrapText="1"/>
    </xf>
    <xf numFmtId="4" fontId="13" fillId="2" borderId="1" xfId="1" applyNumberFormat="1" applyFont="1" applyFill="1" applyBorder="1" applyAlignment="1">
      <alignment horizontal="center" vertical="center" wrapText="1"/>
    </xf>
    <xf numFmtId="169" fontId="13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2" fontId="13" fillId="2" borderId="0" xfId="1" applyNumberFormat="1" applyFont="1" applyFill="1" applyAlignment="1">
      <alignment wrapText="1"/>
    </xf>
    <xf numFmtId="4" fontId="13" fillId="2" borderId="2" xfId="1" applyNumberFormat="1" applyFont="1" applyFill="1" applyBorder="1" applyAlignment="1">
      <alignment vertical="center" wrapText="1"/>
    </xf>
    <xf numFmtId="4" fontId="13" fillId="2" borderId="7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71" fontId="31" fillId="2" borderId="2" xfId="2" applyNumberFormat="1" applyFont="1" applyFill="1" applyBorder="1" applyAlignment="1">
      <alignment vertical="center" wrapText="1"/>
    </xf>
    <xf numFmtId="167" fontId="31" fillId="2" borderId="2" xfId="2" applyNumberFormat="1" applyFont="1" applyFill="1" applyBorder="1" applyAlignment="1">
      <alignment vertical="center" wrapText="1"/>
    </xf>
    <xf numFmtId="171" fontId="20" fillId="2" borderId="1" xfId="44" applyNumberFormat="1" applyFont="1" applyFill="1" applyBorder="1" applyAlignment="1">
      <alignment horizontal="center" wrapText="1"/>
    </xf>
    <xf numFmtId="168" fontId="44" fillId="2" borderId="1" xfId="1" applyNumberFormat="1" applyFont="1" applyFill="1" applyBorder="1" applyAlignment="1">
      <alignment wrapText="1"/>
    </xf>
    <xf numFmtId="4" fontId="44" fillId="2" borderId="1" xfId="1" applyNumberFormat="1" applyFont="1" applyFill="1" applyBorder="1" applyAlignment="1">
      <alignment wrapText="1"/>
    </xf>
    <xf numFmtId="0" fontId="44" fillId="2" borderId="1" xfId="1" applyFont="1" applyFill="1" applyBorder="1" applyAlignment="1">
      <alignment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left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71" fontId="13" fillId="2" borderId="1" xfId="1" applyNumberFormat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right" vertical="center" wrapText="1"/>
    </xf>
    <xf numFmtId="3" fontId="20" fillId="2" borderId="0" xfId="1" applyNumberFormat="1" applyFont="1" applyFill="1" applyAlignment="1">
      <alignment wrapText="1"/>
    </xf>
    <xf numFmtId="171" fontId="13" fillId="2" borderId="1" xfId="2" applyNumberFormat="1" applyFont="1" applyFill="1" applyBorder="1" applyAlignment="1">
      <alignment horizontal="center" vertical="center" wrapText="1"/>
    </xf>
    <xf numFmtId="167" fontId="13" fillId="2" borderId="1" xfId="2" applyNumberFormat="1" applyFont="1" applyFill="1" applyBorder="1" applyAlignment="1">
      <alignment horizontal="center" vertical="center" wrapText="1"/>
    </xf>
    <xf numFmtId="4" fontId="14" fillId="2" borderId="1" xfId="2" applyNumberFormat="1" applyFont="1" applyFill="1" applyBorder="1" applyAlignment="1">
      <alignment horizontal="center" vertical="center" wrapText="1"/>
    </xf>
    <xf numFmtId="170" fontId="13" fillId="2" borderId="1" xfId="2" applyNumberFormat="1" applyFont="1" applyFill="1" applyBorder="1" applyAlignment="1">
      <alignment horizontal="right" vertical="center" wrapText="1"/>
    </xf>
    <xf numFmtId="171" fontId="13" fillId="2" borderId="1" xfId="44" applyNumberFormat="1" applyFont="1" applyFill="1" applyBorder="1" applyAlignment="1">
      <alignment horizontal="center" vertical="center" wrapText="1"/>
    </xf>
    <xf numFmtId="170" fontId="13" fillId="2" borderId="1" xfId="2" applyNumberFormat="1" applyFont="1" applyFill="1" applyBorder="1" applyAlignment="1">
      <alignment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5" fillId="0" borderId="0" xfId="38" applyFont="1" applyAlignment="1">
      <alignment horizontal="center"/>
    </xf>
    <xf numFmtId="0" fontId="15" fillId="0" borderId="0" xfId="38" applyFont="1" applyAlignment="1">
      <alignment horizontal="center" vertical="center" wrapText="1"/>
    </xf>
    <xf numFmtId="0" fontId="35" fillId="2" borderId="2" xfId="39" applyFont="1" applyFill="1" applyBorder="1" applyAlignment="1">
      <alignment horizontal="center" vertical="center" wrapText="1"/>
    </xf>
    <xf numFmtId="0" fontId="35" fillId="2" borderId="7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horizontal="center" vertical="center" wrapText="1"/>
    </xf>
    <xf numFmtId="0" fontId="16" fillId="2" borderId="2" xfId="39" applyFont="1" applyFill="1" applyBorder="1" applyAlignment="1">
      <alignment horizontal="center" vertical="center" wrapText="1"/>
    </xf>
    <xf numFmtId="0" fontId="16" fillId="2" borderId="7" xfId="39" applyFont="1" applyFill="1" applyBorder="1" applyAlignment="1">
      <alignment horizontal="center" vertical="center" wrapText="1"/>
    </xf>
    <xf numFmtId="0" fontId="16" fillId="2" borderId="3" xfId="39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3" fillId="2" borderId="9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4" xfId="1" applyNumberFormat="1" applyFont="1" applyFill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13" fillId="2" borderId="6" xfId="1" applyNumberFormat="1" applyFont="1" applyFill="1" applyBorder="1" applyAlignment="1">
      <alignment horizontal="center" vertical="center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3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167" fontId="33" fillId="2" borderId="2" xfId="2" applyNumberFormat="1" applyFont="1" applyFill="1" applyBorder="1" applyAlignment="1">
      <alignment horizontal="center" vertical="center" wrapText="1"/>
    </xf>
    <xf numFmtId="167" fontId="33" fillId="2" borderId="7" xfId="2" applyNumberFormat="1" applyFont="1" applyFill="1" applyBorder="1" applyAlignment="1">
      <alignment horizontal="center" vertical="center" wrapText="1"/>
    </xf>
    <xf numFmtId="167" fontId="33" fillId="2" borderId="3" xfId="2" applyNumberFormat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center" wrapText="1"/>
    </xf>
    <xf numFmtId="0" fontId="31" fillId="2" borderId="0" xfId="1" applyFont="1" applyFill="1" applyAlignment="1">
      <alignment horizontal="center" wrapText="1"/>
    </xf>
    <xf numFmtId="0" fontId="53" fillId="2" borderId="0" xfId="1" applyFont="1" applyFill="1" applyAlignment="1">
      <alignment horizontal="center" wrapText="1"/>
    </xf>
    <xf numFmtId="167" fontId="31" fillId="2" borderId="2" xfId="2" applyNumberFormat="1" applyFont="1" applyFill="1" applyBorder="1" applyAlignment="1">
      <alignment horizontal="center" vertical="center" wrapText="1"/>
    </xf>
    <xf numFmtId="167" fontId="31" fillId="2" borderId="7" xfId="2" applyNumberFormat="1" applyFont="1" applyFill="1" applyBorder="1" applyAlignment="1">
      <alignment horizontal="center" vertical="center" wrapText="1"/>
    </xf>
    <xf numFmtId="175" fontId="33" fillId="2" borderId="2" xfId="2" applyNumberFormat="1" applyFont="1" applyFill="1" applyBorder="1" applyAlignment="1">
      <alignment horizontal="center" vertical="center" wrapText="1"/>
    </xf>
    <xf numFmtId="175" fontId="33" fillId="2" borderId="7" xfId="2" applyNumberFormat="1" applyFont="1" applyFill="1" applyBorder="1" applyAlignment="1">
      <alignment horizontal="center" vertical="center" wrapText="1"/>
    </xf>
    <xf numFmtId="175" fontId="33" fillId="2" borderId="3" xfId="2" applyNumberFormat="1" applyFont="1" applyFill="1" applyBorder="1" applyAlignment="1">
      <alignment horizontal="center" vertical="center" wrapText="1"/>
    </xf>
    <xf numFmtId="3" fontId="14" fillId="2" borderId="7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7" fontId="13" fillId="2" borderId="2" xfId="2" applyNumberFormat="1" applyFont="1" applyFill="1" applyBorder="1" applyAlignment="1">
      <alignment horizontal="center" vertical="center" wrapText="1"/>
    </xf>
    <xf numFmtId="167" fontId="13" fillId="2" borderId="7" xfId="2" applyNumberFormat="1" applyFont="1" applyFill="1" applyBorder="1" applyAlignment="1">
      <alignment horizontal="center" vertical="center" wrapText="1"/>
    </xf>
    <xf numFmtId="167" fontId="13" fillId="2" borderId="3" xfId="2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4" fontId="13" fillId="2" borderId="2" xfId="2" applyNumberFormat="1" applyFont="1" applyFill="1" applyBorder="1" applyAlignment="1">
      <alignment horizontal="center" vertical="center" wrapText="1"/>
    </xf>
    <xf numFmtId="4" fontId="13" fillId="2" borderId="7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175" fontId="31" fillId="2" borderId="2" xfId="2" applyNumberFormat="1" applyFont="1" applyFill="1" applyBorder="1" applyAlignment="1">
      <alignment horizontal="center" vertical="center" wrapText="1"/>
    </xf>
    <xf numFmtId="175" fontId="31" fillId="2" borderId="7" xfId="2" applyNumberFormat="1" applyFont="1" applyFill="1" applyBorder="1" applyAlignment="1">
      <alignment horizontal="center" vertical="center" wrapText="1"/>
    </xf>
    <xf numFmtId="175" fontId="31" fillId="2" borderId="3" xfId="2" applyNumberFormat="1" applyFont="1" applyFill="1" applyBorder="1" applyAlignment="1">
      <alignment horizontal="center" vertical="center" wrapText="1"/>
    </xf>
    <xf numFmtId="171" fontId="32" fillId="2" borderId="2" xfId="2" applyNumberFormat="1" applyFont="1" applyFill="1" applyBorder="1" applyAlignment="1">
      <alignment horizontal="center" vertical="center" wrapText="1"/>
    </xf>
    <xf numFmtId="171" fontId="32" fillId="2" borderId="7" xfId="2" applyNumberFormat="1" applyFont="1" applyFill="1" applyBorder="1" applyAlignment="1">
      <alignment horizontal="center" vertical="center" wrapText="1"/>
    </xf>
    <xf numFmtId="171" fontId="32" fillId="2" borderId="3" xfId="2" applyNumberFormat="1" applyFont="1" applyFill="1" applyBorder="1" applyAlignment="1">
      <alignment horizontal="center" vertical="center" wrapText="1"/>
    </xf>
    <xf numFmtId="171" fontId="31" fillId="2" borderId="2" xfId="2" applyNumberFormat="1" applyFont="1" applyFill="1" applyBorder="1" applyAlignment="1">
      <alignment horizontal="center" vertical="center" wrapText="1"/>
    </xf>
    <xf numFmtId="171" fontId="31" fillId="2" borderId="7" xfId="2" applyNumberFormat="1" applyFont="1" applyFill="1" applyBorder="1" applyAlignment="1">
      <alignment horizontal="center" vertical="center" wrapText="1"/>
    </xf>
    <xf numFmtId="171" fontId="31" fillId="2" borderId="3" xfId="2" applyNumberFormat="1" applyFont="1" applyFill="1" applyBorder="1" applyAlignment="1">
      <alignment horizontal="center" vertical="center" wrapText="1"/>
    </xf>
    <xf numFmtId="0" fontId="31" fillId="2" borderId="0" xfId="1" applyFont="1" applyFill="1" applyBorder="1" applyAlignment="1">
      <alignment horizontal="center" wrapText="1"/>
    </xf>
    <xf numFmtId="3" fontId="13" fillId="2" borderId="2" xfId="79" applyNumberFormat="1" applyFont="1" applyFill="1" applyBorder="1" applyAlignment="1">
      <alignment horizontal="center" vertical="center" wrapText="1"/>
    </xf>
    <xf numFmtId="3" fontId="13" fillId="2" borderId="7" xfId="79" applyNumberFormat="1" applyFont="1" applyFill="1" applyBorder="1" applyAlignment="1">
      <alignment horizontal="center" vertical="center" wrapText="1"/>
    </xf>
    <xf numFmtId="3" fontId="13" fillId="2" borderId="3" xfId="79" applyNumberFormat="1" applyFont="1" applyFill="1" applyBorder="1" applyAlignment="1">
      <alignment horizontal="center" vertical="center" wrapText="1"/>
    </xf>
    <xf numFmtId="3" fontId="14" fillId="2" borderId="8" xfId="1" applyNumberFormat="1" applyFont="1" applyFill="1" applyBorder="1" applyAlignment="1">
      <alignment horizontal="center" vertical="center" wrapText="1"/>
    </xf>
    <xf numFmtId="3" fontId="14" fillId="2" borderId="12" xfId="1" applyNumberFormat="1" applyFont="1" applyFill="1" applyBorder="1" applyAlignment="1">
      <alignment horizontal="center" vertical="center" wrapText="1"/>
    </xf>
    <xf numFmtId="3" fontId="14" fillId="2" borderId="13" xfId="1" applyNumberFormat="1" applyFont="1" applyFill="1" applyBorder="1" applyAlignment="1">
      <alignment horizontal="center" vertical="center" wrapText="1"/>
    </xf>
    <xf numFmtId="3" fontId="14" fillId="2" borderId="2" xfId="55" applyNumberFormat="1" applyFont="1" applyFill="1" applyBorder="1" applyAlignment="1">
      <alignment horizontal="center" vertical="center" wrapText="1"/>
    </xf>
    <xf numFmtId="3" fontId="14" fillId="2" borderId="3" xfId="55" applyNumberFormat="1" applyFont="1" applyFill="1" applyBorder="1" applyAlignment="1">
      <alignment horizontal="center" vertical="center" wrapText="1"/>
    </xf>
    <xf numFmtId="0" fontId="60" fillId="2" borderId="0" xfId="58" applyFont="1" applyFill="1" applyBorder="1" applyAlignment="1">
      <alignment horizontal="center" vertical="center" wrapText="1"/>
    </xf>
    <xf numFmtId="0" fontId="61" fillId="2" borderId="0" xfId="58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center" vertical="center" wrapText="1"/>
    </xf>
    <xf numFmtId="0" fontId="13" fillId="2" borderId="2" xfId="79" applyFont="1" applyFill="1" applyBorder="1" applyAlignment="1">
      <alignment horizontal="center" vertical="center" wrapText="1"/>
    </xf>
    <xf numFmtId="0" fontId="13" fillId="2" borderId="7" xfId="79" applyFont="1" applyFill="1" applyBorder="1" applyAlignment="1">
      <alignment horizontal="center" vertical="center" wrapText="1"/>
    </xf>
    <xf numFmtId="0" fontId="13" fillId="2" borderId="3" xfId="79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64" fillId="2" borderId="0" xfId="656" applyFont="1" applyFill="1" applyAlignment="1">
      <alignment horizontal="right" wrapText="1"/>
    </xf>
    <xf numFmtId="175" fontId="13" fillId="2" borderId="2" xfId="2" applyNumberFormat="1" applyFont="1" applyFill="1" applyBorder="1" applyAlignment="1">
      <alignment horizontal="center" vertical="center" wrapText="1"/>
    </xf>
    <xf numFmtId="175" fontId="13" fillId="2" borderId="7" xfId="2" applyNumberFormat="1" applyFont="1" applyFill="1" applyBorder="1" applyAlignment="1">
      <alignment horizontal="center" vertical="center" wrapText="1"/>
    </xf>
    <xf numFmtId="175" fontId="13" fillId="2" borderId="3" xfId="2" applyNumberFormat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4" fontId="38" fillId="2" borderId="2" xfId="2" applyNumberFormat="1" applyFont="1" applyFill="1" applyBorder="1" applyAlignment="1">
      <alignment horizontal="center" vertical="center" wrapText="1"/>
    </xf>
    <xf numFmtId="4" fontId="38" fillId="2" borderId="7" xfId="2" applyNumberFormat="1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38" fillId="2" borderId="1" xfId="2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0" fontId="49" fillId="0" borderId="0" xfId="0" applyFont="1" applyAlignment="1">
      <alignment horizontal="center" vertical="center" wrapText="1"/>
    </xf>
    <xf numFmtId="0" fontId="49" fillId="4" borderId="0" xfId="0" applyFont="1" applyFill="1" applyAlignment="1">
      <alignment vertical="center" wrapText="1"/>
    </xf>
    <xf numFmtId="4" fontId="42" fillId="2" borderId="2" xfId="1" applyNumberFormat="1" applyFont="1" applyFill="1" applyBorder="1" applyAlignment="1">
      <alignment horizontal="center" vertical="center" wrapText="1"/>
    </xf>
    <xf numFmtId="4" fontId="42" fillId="2" borderId="7" xfId="1" applyNumberFormat="1" applyFont="1" applyFill="1" applyBorder="1" applyAlignment="1">
      <alignment horizontal="center" vertical="center" wrapText="1"/>
    </xf>
    <xf numFmtId="4" fontId="42" fillId="2" borderId="3" xfId="1" applyNumberFormat="1" applyFont="1" applyFill="1" applyBorder="1" applyAlignment="1">
      <alignment horizontal="center" vertical="center" wrapText="1"/>
    </xf>
    <xf numFmtId="4" fontId="42" fillId="2" borderId="1" xfId="1" applyNumberFormat="1" applyFont="1" applyFill="1" applyBorder="1" applyAlignment="1">
      <alignment horizontal="center" vertical="center" wrapText="1"/>
    </xf>
  </cellXfs>
  <cellStyles count="713">
    <cellStyle name="Гиперссылка" xfId="46" builtinId="8"/>
    <cellStyle name="Денежный 2" xfId="45"/>
    <cellStyle name="Обычный" xfId="0" builtinId="0"/>
    <cellStyle name="Обычный 2" xfId="1"/>
    <cellStyle name="Обычный 2 10" xfId="87"/>
    <cellStyle name="Обычный 2 10 2" xfId="181"/>
    <cellStyle name="Обычный 2 10 2 2" xfId="319"/>
    <cellStyle name="Обычный 2 10 2 2 2" xfId="656"/>
    <cellStyle name="Обычный 2 10 2 3" xfId="518"/>
    <cellStyle name="Обычный 2 10 3" xfId="250"/>
    <cellStyle name="Обычный 2 10 3 2" xfId="587"/>
    <cellStyle name="Обычный 2 10 4" xfId="424"/>
    <cellStyle name="Обычный 2 11" xfId="134"/>
    <cellStyle name="Обычный 2 11 2" xfId="297"/>
    <cellStyle name="Обычный 2 11 2 2" xfId="634"/>
    <cellStyle name="Обычный 2 11 3" xfId="471"/>
    <cellStyle name="Обычный 2 12" xfId="366"/>
    <cellStyle name="Обычный 2 12 2" xfId="703"/>
    <cellStyle name="Обычный 2 13" xfId="228"/>
    <cellStyle name="Обычный 2 13 2" xfId="565"/>
    <cellStyle name="Обычный 2 14" xfId="375"/>
    <cellStyle name="Обычный 2 14 2" xfId="711"/>
    <cellStyle name="Обычный 2 15" xfId="377"/>
    <cellStyle name="Обычный 2 2" xfId="3"/>
    <cellStyle name="Обычный 2 3" xfId="39"/>
    <cellStyle name="Обычный 2 3 2" xfId="43"/>
    <cellStyle name="Обычный 2 3 2 2" xfId="53"/>
    <cellStyle name="Обычный 2 3 2 2 2" xfId="79"/>
    <cellStyle name="Обычный 2 3 2 2 2 2" xfId="126"/>
    <cellStyle name="Обычный 2 3 2 2 2 2 2" xfId="220"/>
    <cellStyle name="Обычный 2 3 2 2 2 2 2 2" xfId="557"/>
    <cellStyle name="Обычный 2 3 2 2 2 2 3" xfId="358"/>
    <cellStyle name="Обычный 2 3 2 2 2 2 3 2" xfId="695"/>
    <cellStyle name="Обычный 2 3 2 2 2 2 4" xfId="463"/>
    <cellStyle name="Обычный 2 3 2 2 2 3" xfId="173"/>
    <cellStyle name="Обычный 2 3 2 2 2 3 2" xfId="510"/>
    <cellStyle name="Обычный 2 3 2 2 2 4" xfId="289"/>
    <cellStyle name="Обычный 2 3 2 2 2 4 2" xfId="626"/>
    <cellStyle name="Обычный 2 3 2 2 2 5" xfId="416"/>
    <cellStyle name="Обычный 2 3 2 2 3" xfId="101"/>
    <cellStyle name="Обычный 2 3 2 2 3 2" xfId="195"/>
    <cellStyle name="Обычный 2 3 2 2 3 2 2" xfId="333"/>
    <cellStyle name="Обычный 2 3 2 2 3 2 2 2" xfId="670"/>
    <cellStyle name="Обычный 2 3 2 2 3 2 3" xfId="532"/>
    <cellStyle name="Обычный 2 3 2 2 3 3" xfId="264"/>
    <cellStyle name="Обычный 2 3 2 2 3 3 2" xfId="601"/>
    <cellStyle name="Обычный 2 3 2 2 3 4" xfId="438"/>
    <cellStyle name="Обычный 2 3 2 2 4" xfId="148"/>
    <cellStyle name="Обычный 2 3 2 2 4 2" xfId="311"/>
    <cellStyle name="Обычный 2 3 2 2 4 2 2" xfId="648"/>
    <cellStyle name="Обычный 2 3 2 2 4 3" xfId="485"/>
    <cellStyle name="Обычный 2 3 2 2 5" xfId="242"/>
    <cellStyle name="Обычный 2 3 2 2 5 2" xfId="579"/>
    <cellStyle name="Обычный 2 3 2 2 6" xfId="391"/>
    <cellStyle name="Обычный 2 3 2 3" xfId="71"/>
    <cellStyle name="Обычный 2 3 2 3 2" xfId="118"/>
    <cellStyle name="Обычный 2 3 2 3 2 2" xfId="212"/>
    <cellStyle name="Обычный 2 3 2 3 2 2 2" xfId="549"/>
    <cellStyle name="Обычный 2 3 2 3 2 3" xfId="350"/>
    <cellStyle name="Обычный 2 3 2 3 2 3 2" xfId="687"/>
    <cellStyle name="Обычный 2 3 2 3 2 4" xfId="455"/>
    <cellStyle name="Обычный 2 3 2 3 3" xfId="165"/>
    <cellStyle name="Обычный 2 3 2 3 3 2" xfId="502"/>
    <cellStyle name="Обычный 2 3 2 3 4" xfId="281"/>
    <cellStyle name="Обычный 2 3 2 3 4 2" xfId="618"/>
    <cellStyle name="Обычный 2 3 2 3 5" xfId="408"/>
    <cellStyle name="Обычный 2 3 2 4" xfId="93"/>
    <cellStyle name="Обычный 2 3 2 4 2" xfId="187"/>
    <cellStyle name="Обычный 2 3 2 4 2 2" xfId="325"/>
    <cellStyle name="Обычный 2 3 2 4 2 2 2" xfId="662"/>
    <cellStyle name="Обычный 2 3 2 4 2 3" xfId="524"/>
    <cellStyle name="Обычный 2 3 2 4 3" xfId="256"/>
    <cellStyle name="Обычный 2 3 2 4 3 2" xfId="593"/>
    <cellStyle name="Обычный 2 3 2 4 4" xfId="430"/>
    <cellStyle name="Обычный 2 3 2 5" xfId="140"/>
    <cellStyle name="Обычный 2 3 2 5 2" xfId="303"/>
    <cellStyle name="Обычный 2 3 2 5 2 2" xfId="640"/>
    <cellStyle name="Обычный 2 3 2 5 3" xfId="477"/>
    <cellStyle name="Обычный 2 3 2 6" xfId="372"/>
    <cellStyle name="Обычный 2 3 2 6 2" xfId="709"/>
    <cellStyle name="Обычный 2 3 2 7" xfId="234"/>
    <cellStyle name="Обычный 2 3 2 7 2" xfId="571"/>
    <cellStyle name="Обычный 2 3 2 8" xfId="383"/>
    <cellStyle name="Обычный 2 3 3" xfId="49"/>
    <cellStyle name="Обычный 2 3 3 2" xfId="75"/>
    <cellStyle name="Обычный 2 3 3 2 2" xfId="122"/>
    <cellStyle name="Обычный 2 3 3 2 2 2" xfId="216"/>
    <cellStyle name="Обычный 2 3 3 2 2 2 2" xfId="553"/>
    <cellStyle name="Обычный 2 3 3 2 2 3" xfId="354"/>
    <cellStyle name="Обычный 2 3 3 2 2 3 2" xfId="691"/>
    <cellStyle name="Обычный 2 3 3 2 2 4" xfId="459"/>
    <cellStyle name="Обычный 2 3 3 2 3" xfId="169"/>
    <cellStyle name="Обычный 2 3 3 2 3 2" xfId="506"/>
    <cellStyle name="Обычный 2 3 3 2 4" xfId="285"/>
    <cellStyle name="Обычный 2 3 3 2 4 2" xfId="622"/>
    <cellStyle name="Обычный 2 3 3 2 5" xfId="412"/>
    <cellStyle name="Обычный 2 3 3 3" xfId="97"/>
    <cellStyle name="Обычный 2 3 3 3 2" xfId="191"/>
    <cellStyle name="Обычный 2 3 3 3 2 2" xfId="329"/>
    <cellStyle name="Обычный 2 3 3 3 2 2 2" xfId="666"/>
    <cellStyle name="Обычный 2 3 3 3 2 3" xfId="528"/>
    <cellStyle name="Обычный 2 3 3 3 3" xfId="260"/>
    <cellStyle name="Обычный 2 3 3 3 3 2" xfId="597"/>
    <cellStyle name="Обычный 2 3 3 3 4" xfId="434"/>
    <cellStyle name="Обычный 2 3 3 4" xfId="144"/>
    <cellStyle name="Обычный 2 3 3 4 2" xfId="307"/>
    <cellStyle name="Обычный 2 3 3 4 2 2" xfId="644"/>
    <cellStyle name="Обычный 2 3 3 4 3" xfId="481"/>
    <cellStyle name="Обычный 2 3 3 5" xfId="238"/>
    <cellStyle name="Обычный 2 3 3 5 2" xfId="575"/>
    <cellStyle name="Обычный 2 3 3 6" xfId="387"/>
    <cellStyle name="Обычный 2 3 4" xfId="67"/>
    <cellStyle name="Обычный 2 3 4 2" xfId="114"/>
    <cellStyle name="Обычный 2 3 4 2 2" xfId="208"/>
    <cellStyle name="Обычный 2 3 4 2 2 2" xfId="545"/>
    <cellStyle name="Обычный 2 3 4 2 3" xfId="346"/>
    <cellStyle name="Обычный 2 3 4 2 3 2" xfId="683"/>
    <cellStyle name="Обычный 2 3 4 2 4" xfId="451"/>
    <cellStyle name="Обычный 2 3 4 3" xfId="161"/>
    <cellStyle name="Обычный 2 3 4 3 2" xfId="498"/>
    <cellStyle name="Обычный 2 3 4 4" xfId="277"/>
    <cellStyle name="Обычный 2 3 4 4 2" xfId="614"/>
    <cellStyle name="Обычный 2 3 4 5" xfId="404"/>
    <cellStyle name="Обычный 2 3 5" xfId="89"/>
    <cellStyle name="Обычный 2 3 5 2" xfId="183"/>
    <cellStyle name="Обычный 2 3 5 2 2" xfId="321"/>
    <cellStyle name="Обычный 2 3 5 2 2 2" xfId="658"/>
    <cellStyle name="Обычный 2 3 5 2 3" xfId="520"/>
    <cellStyle name="Обычный 2 3 5 3" xfId="252"/>
    <cellStyle name="Обычный 2 3 5 3 2" xfId="589"/>
    <cellStyle name="Обычный 2 3 5 4" xfId="426"/>
    <cellStyle name="Обычный 2 3 6" xfId="136"/>
    <cellStyle name="Обычный 2 3 6 2" xfId="299"/>
    <cellStyle name="Обычный 2 3 6 2 2" xfId="636"/>
    <cellStyle name="Обычный 2 3 6 3" xfId="473"/>
    <cellStyle name="Обычный 2 3 7" xfId="368"/>
    <cellStyle name="Обычный 2 3 7 2" xfId="705"/>
    <cellStyle name="Обычный 2 3 8" xfId="230"/>
    <cellStyle name="Обычный 2 3 8 2" xfId="567"/>
    <cellStyle name="Обычный 2 3 9" xfId="379"/>
    <cellStyle name="Обычный 2 4" xfId="41"/>
    <cellStyle name="Обычный 2 4 2" xfId="51"/>
    <cellStyle name="Обычный 2 4 2 2" xfId="77"/>
    <cellStyle name="Обычный 2 4 2 2 2" xfId="124"/>
    <cellStyle name="Обычный 2 4 2 2 2 2" xfId="218"/>
    <cellStyle name="Обычный 2 4 2 2 2 2 2" xfId="555"/>
    <cellStyle name="Обычный 2 4 2 2 2 3" xfId="356"/>
    <cellStyle name="Обычный 2 4 2 2 2 3 2" xfId="693"/>
    <cellStyle name="Обычный 2 4 2 2 2 4" xfId="461"/>
    <cellStyle name="Обычный 2 4 2 2 3" xfId="171"/>
    <cellStyle name="Обычный 2 4 2 2 3 2" xfId="508"/>
    <cellStyle name="Обычный 2 4 2 2 4" xfId="287"/>
    <cellStyle name="Обычный 2 4 2 2 4 2" xfId="624"/>
    <cellStyle name="Обычный 2 4 2 2 5" xfId="414"/>
    <cellStyle name="Обычный 2 4 2 3" xfId="99"/>
    <cellStyle name="Обычный 2 4 2 3 2" xfId="193"/>
    <cellStyle name="Обычный 2 4 2 3 2 2" xfId="331"/>
    <cellStyle name="Обычный 2 4 2 3 2 2 2" xfId="668"/>
    <cellStyle name="Обычный 2 4 2 3 2 3" xfId="530"/>
    <cellStyle name="Обычный 2 4 2 3 3" xfId="262"/>
    <cellStyle name="Обычный 2 4 2 3 3 2" xfId="599"/>
    <cellStyle name="Обычный 2 4 2 3 4" xfId="436"/>
    <cellStyle name="Обычный 2 4 2 4" xfId="146"/>
    <cellStyle name="Обычный 2 4 2 4 2" xfId="309"/>
    <cellStyle name="Обычный 2 4 2 4 2 2" xfId="646"/>
    <cellStyle name="Обычный 2 4 2 4 3" xfId="483"/>
    <cellStyle name="Обычный 2 4 2 5" xfId="240"/>
    <cellStyle name="Обычный 2 4 2 5 2" xfId="577"/>
    <cellStyle name="Обычный 2 4 2 6" xfId="389"/>
    <cellStyle name="Обычный 2 4 3" xfId="69"/>
    <cellStyle name="Обычный 2 4 3 2" xfId="116"/>
    <cellStyle name="Обычный 2 4 3 2 2" xfId="210"/>
    <cellStyle name="Обычный 2 4 3 2 2 2" xfId="547"/>
    <cellStyle name="Обычный 2 4 3 2 3" xfId="348"/>
    <cellStyle name="Обычный 2 4 3 2 3 2" xfId="685"/>
    <cellStyle name="Обычный 2 4 3 2 4" xfId="453"/>
    <cellStyle name="Обычный 2 4 3 3" xfId="163"/>
    <cellStyle name="Обычный 2 4 3 3 2" xfId="500"/>
    <cellStyle name="Обычный 2 4 3 4" xfId="279"/>
    <cellStyle name="Обычный 2 4 3 4 2" xfId="616"/>
    <cellStyle name="Обычный 2 4 3 5" xfId="406"/>
    <cellStyle name="Обычный 2 4 4" xfId="91"/>
    <cellStyle name="Обычный 2 4 4 2" xfId="185"/>
    <cellStyle name="Обычный 2 4 4 2 2" xfId="323"/>
    <cellStyle name="Обычный 2 4 4 2 2 2" xfId="660"/>
    <cellStyle name="Обычный 2 4 4 2 3" xfId="522"/>
    <cellStyle name="Обычный 2 4 4 3" xfId="254"/>
    <cellStyle name="Обычный 2 4 4 3 2" xfId="591"/>
    <cellStyle name="Обычный 2 4 4 4" xfId="428"/>
    <cellStyle name="Обычный 2 4 5" xfId="138"/>
    <cellStyle name="Обычный 2 4 5 2" xfId="301"/>
    <cellStyle name="Обычный 2 4 5 2 2" xfId="638"/>
    <cellStyle name="Обычный 2 4 5 3" xfId="475"/>
    <cellStyle name="Обычный 2 4 6" xfId="370"/>
    <cellStyle name="Обычный 2 4 6 2" xfId="707"/>
    <cellStyle name="Обычный 2 4 7" xfId="232"/>
    <cellStyle name="Обычный 2 4 7 2" xfId="569"/>
    <cellStyle name="Обычный 2 4 8" xfId="381"/>
    <cellStyle name="Обычный 2 5" xfId="47"/>
    <cellStyle name="Обычный 2 5 2" xfId="73"/>
    <cellStyle name="Обычный 2 5 2 2" xfId="120"/>
    <cellStyle name="Обычный 2 5 2 2 2" xfId="214"/>
    <cellStyle name="Обычный 2 5 2 2 2 2" xfId="551"/>
    <cellStyle name="Обычный 2 5 2 2 3" xfId="352"/>
    <cellStyle name="Обычный 2 5 2 2 3 2" xfId="689"/>
    <cellStyle name="Обычный 2 5 2 2 4" xfId="457"/>
    <cellStyle name="Обычный 2 5 2 3" xfId="167"/>
    <cellStyle name="Обычный 2 5 2 3 2" xfId="504"/>
    <cellStyle name="Обычный 2 5 2 4" xfId="283"/>
    <cellStyle name="Обычный 2 5 2 4 2" xfId="620"/>
    <cellStyle name="Обычный 2 5 2 5" xfId="410"/>
    <cellStyle name="Обычный 2 5 3" xfId="95"/>
    <cellStyle name="Обычный 2 5 3 2" xfId="189"/>
    <cellStyle name="Обычный 2 5 3 2 2" xfId="327"/>
    <cellStyle name="Обычный 2 5 3 2 2 2" xfId="664"/>
    <cellStyle name="Обычный 2 5 3 2 3" xfId="526"/>
    <cellStyle name="Обычный 2 5 3 3" xfId="258"/>
    <cellStyle name="Обычный 2 5 3 3 2" xfId="595"/>
    <cellStyle name="Обычный 2 5 3 4" xfId="432"/>
    <cellStyle name="Обычный 2 5 4" xfId="142"/>
    <cellStyle name="Обычный 2 5 4 2" xfId="305"/>
    <cellStyle name="Обычный 2 5 4 2 2" xfId="642"/>
    <cellStyle name="Обычный 2 5 4 3" xfId="479"/>
    <cellStyle name="Обычный 2 5 5" xfId="236"/>
    <cellStyle name="Обычный 2 5 5 2" xfId="573"/>
    <cellStyle name="Обычный 2 5 6" xfId="385"/>
    <cellStyle name="Обычный 2 6" xfId="55"/>
    <cellStyle name="Обычный 2 6 2" xfId="81"/>
    <cellStyle name="Обычный 2 6 2 2" xfId="128"/>
    <cellStyle name="Обычный 2 6 2 2 2" xfId="222"/>
    <cellStyle name="Обычный 2 6 2 2 2 2" xfId="559"/>
    <cellStyle name="Обычный 2 6 2 2 3" xfId="360"/>
    <cellStyle name="Обычный 2 6 2 2 3 2" xfId="697"/>
    <cellStyle name="Обычный 2 6 2 2 4" xfId="465"/>
    <cellStyle name="Обычный 2 6 2 3" xfId="175"/>
    <cellStyle name="Обычный 2 6 2 3 2" xfId="512"/>
    <cellStyle name="Обычный 2 6 2 4" xfId="291"/>
    <cellStyle name="Обычный 2 6 2 4 2" xfId="628"/>
    <cellStyle name="Обычный 2 6 2 5" xfId="418"/>
    <cellStyle name="Обычный 2 6 3" xfId="103"/>
    <cellStyle name="Обычный 2 6 3 2" xfId="197"/>
    <cellStyle name="Обычный 2 6 3 2 2" xfId="335"/>
    <cellStyle name="Обычный 2 6 3 2 2 2" xfId="672"/>
    <cellStyle name="Обычный 2 6 3 2 3" xfId="534"/>
    <cellStyle name="Обычный 2 6 3 3" xfId="266"/>
    <cellStyle name="Обычный 2 6 3 3 2" xfId="603"/>
    <cellStyle name="Обычный 2 6 3 4" xfId="440"/>
    <cellStyle name="Обычный 2 6 4" xfId="150"/>
    <cellStyle name="Обычный 2 6 4 2" xfId="313"/>
    <cellStyle name="Обычный 2 6 4 2 2" xfId="650"/>
    <cellStyle name="Обычный 2 6 4 3" xfId="487"/>
    <cellStyle name="Обычный 2 6 5" xfId="244"/>
    <cellStyle name="Обычный 2 6 5 2" xfId="581"/>
    <cellStyle name="Обычный 2 6 6" xfId="393"/>
    <cellStyle name="Обычный 2 7" xfId="58"/>
    <cellStyle name="Обычный 2 7 2" xfId="84"/>
    <cellStyle name="Обычный 2 7 2 2" xfId="131"/>
    <cellStyle name="Обычный 2 7 2 2 2" xfId="225"/>
    <cellStyle name="Обычный 2 7 2 2 2 2" xfId="562"/>
    <cellStyle name="Обычный 2 7 2 2 3" xfId="363"/>
    <cellStyle name="Обычный 2 7 2 2 3 2" xfId="700"/>
    <cellStyle name="Обычный 2 7 2 2 4" xfId="468"/>
    <cellStyle name="Обычный 2 7 2 3" xfId="178"/>
    <cellStyle name="Обычный 2 7 2 3 2" xfId="515"/>
    <cellStyle name="Обычный 2 7 2 4" xfId="294"/>
    <cellStyle name="Обычный 2 7 2 4 2" xfId="631"/>
    <cellStyle name="Обычный 2 7 2 5" xfId="421"/>
    <cellStyle name="Обычный 2 7 3" xfId="106"/>
    <cellStyle name="Обычный 2 7 3 2" xfId="200"/>
    <cellStyle name="Обычный 2 7 3 2 2" xfId="338"/>
    <cellStyle name="Обычный 2 7 3 2 2 2" xfId="675"/>
    <cellStyle name="Обычный 2 7 3 2 3" xfId="537"/>
    <cellStyle name="Обычный 2 7 3 3" xfId="269"/>
    <cellStyle name="Обычный 2 7 3 3 2" xfId="606"/>
    <cellStyle name="Обычный 2 7 3 4" xfId="443"/>
    <cellStyle name="Обычный 2 7 4" xfId="153"/>
    <cellStyle name="Обычный 2 7 4 2" xfId="316"/>
    <cellStyle name="Обычный 2 7 4 2 2" xfId="653"/>
    <cellStyle name="Обычный 2 7 4 3" xfId="490"/>
    <cellStyle name="Обычный 2 7 5" xfId="247"/>
    <cellStyle name="Обычный 2 7 5 2" xfId="584"/>
    <cellStyle name="Обычный 2 7 6" xfId="396"/>
    <cellStyle name="Обычный 2 8" xfId="65"/>
    <cellStyle name="Обычный 2 8 2" xfId="112"/>
    <cellStyle name="Обычный 2 8 2 2" xfId="206"/>
    <cellStyle name="Обычный 2 8 2 2 2" xfId="543"/>
    <cellStyle name="Обычный 2 8 2 3" xfId="344"/>
    <cellStyle name="Обычный 2 8 2 3 2" xfId="681"/>
    <cellStyle name="Обычный 2 8 2 4" xfId="449"/>
    <cellStyle name="Обычный 2 8 3" xfId="159"/>
    <cellStyle name="Обычный 2 8 3 2" xfId="496"/>
    <cellStyle name="Обычный 2 8 4" xfId="275"/>
    <cellStyle name="Обычный 2 8 4 2" xfId="612"/>
    <cellStyle name="Обычный 2 8 5" xfId="402"/>
    <cellStyle name="Обычный 2 9" xfId="61"/>
    <cellStyle name="Обычный 2 9 2" xfId="109"/>
    <cellStyle name="Обычный 2 9 2 2" xfId="203"/>
    <cellStyle name="Обычный 2 9 2 2 2" xfId="540"/>
    <cellStyle name="Обычный 2 9 2 3" xfId="341"/>
    <cellStyle name="Обычный 2 9 2 3 2" xfId="678"/>
    <cellStyle name="Обычный 2 9 2 4" xfId="446"/>
    <cellStyle name="Обычный 2 9 3" xfId="156"/>
    <cellStyle name="Обычный 2 9 3 2" xfId="493"/>
    <cellStyle name="Обычный 2 9 4" xfId="272"/>
    <cellStyle name="Обычный 2 9 4 2" xfId="609"/>
    <cellStyle name="Обычный 2 9 5" xfId="399"/>
    <cellStyle name="Обычный 3" xfId="4"/>
    <cellStyle name="Обычный 3 2" xfId="5"/>
    <cellStyle name="Обычный 3 3" xfId="374"/>
    <cellStyle name="Обычный 4" xfId="38"/>
    <cellStyle name="Обычный 5" xfId="64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35"/>
    <cellStyle name="Финансовый 2 10 2" xfId="298"/>
    <cellStyle name="Финансовый 2 10 2 2" xfId="635"/>
    <cellStyle name="Финансовый 2 10 3" xfId="472"/>
    <cellStyle name="Финансовый 2 11" xfId="367"/>
    <cellStyle name="Финансовый 2 11 2" xfId="704"/>
    <cellStyle name="Финансовый 2 12" xfId="229"/>
    <cellStyle name="Финансовый 2 12 2" xfId="566"/>
    <cellStyle name="Финансовый 2 13" xfId="376"/>
    <cellStyle name="Финансовый 2 13 2" xfId="712"/>
    <cellStyle name="Финансовый 2 14" xfId="378"/>
    <cellStyle name="Финансовый 2 2" xfId="40"/>
    <cellStyle name="Финансовый 2 2 2" xfId="44"/>
    <cellStyle name="Финансовый 2 2 2 10" xfId="235"/>
    <cellStyle name="Финансовый 2 2 2 10 2" xfId="572"/>
    <cellStyle name="Финансовый 2 2 2 11" xfId="384"/>
    <cellStyle name="Финансовый 2 2 2 2" xfId="54"/>
    <cellStyle name="Финансовый 2 2 2 2 2" xfId="80"/>
    <cellStyle name="Финансовый 2 2 2 2 2 2" xfId="127"/>
    <cellStyle name="Финансовый 2 2 2 2 2 2 2" xfId="221"/>
    <cellStyle name="Финансовый 2 2 2 2 2 2 2 2" xfId="558"/>
    <cellStyle name="Финансовый 2 2 2 2 2 2 3" xfId="359"/>
    <cellStyle name="Финансовый 2 2 2 2 2 2 3 2" xfId="696"/>
    <cellStyle name="Финансовый 2 2 2 2 2 2 4" xfId="464"/>
    <cellStyle name="Финансовый 2 2 2 2 2 3" xfId="174"/>
    <cellStyle name="Финансовый 2 2 2 2 2 3 2" xfId="511"/>
    <cellStyle name="Финансовый 2 2 2 2 2 4" xfId="290"/>
    <cellStyle name="Финансовый 2 2 2 2 2 4 2" xfId="627"/>
    <cellStyle name="Финансовый 2 2 2 2 2 5" xfId="417"/>
    <cellStyle name="Финансовый 2 2 2 2 3" xfId="102"/>
    <cellStyle name="Финансовый 2 2 2 2 3 2" xfId="196"/>
    <cellStyle name="Финансовый 2 2 2 2 3 2 2" xfId="334"/>
    <cellStyle name="Финансовый 2 2 2 2 3 2 2 2" xfId="671"/>
    <cellStyle name="Финансовый 2 2 2 2 3 2 3" xfId="533"/>
    <cellStyle name="Финансовый 2 2 2 2 3 3" xfId="265"/>
    <cellStyle name="Финансовый 2 2 2 2 3 3 2" xfId="602"/>
    <cellStyle name="Финансовый 2 2 2 2 3 4" xfId="439"/>
    <cellStyle name="Финансовый 2 2 2 2 4" xfId="149"/>
    <cellStyle name="Финансовый 2 2 2 2 4 2" xfId="312"/>
    <cellStyle name="Финансовый 2 2 2 2 4 2 2" xfId="649"/>
    <cellStyle name="Финансовый 2 2 2 2 4 3" xfId="486"/>
    <cellStyle name="Финансовый 2 2 2 2 5" xfId="243"/>
    <cellStyle name="Финансовый 2 2 2 2 5 2" xfId="580"/>
    <cellStyle name="Финансовый 2 2 2 2 6" xfId="392"/>
    <cellStyle name="Финансовый 2 2 2 3" xfId="57"/>
    <cellStyle name="Финансовый 2 2 2 3 2" xfId="83"/>
    <cellStyle name="Финансовый 2 2 2 3 2 2" xfId="130"/>
    <cellStyle name="Финансовый 2 2 2 3 2 2 2" xfId="224"/>
    <cellStyle name="Финансовый 2 2 2 3 2 2 2 2" xfId="561"/>
    <cellStyle name="Финансовый 2 2 2 3 2 2 3" xfId="362"/>
    <cellStyle name="Финансовый 2 2 2 3 2 2 3 2" xfId="699"/>
    <cellStyle name="Финансовый 2 2 2 3 2 2 4" xfId="467"/>
    <cellStyle name="Финансовый 2 2 2 3 2 3" xfId="177"/>
    <cellStyle name="Финансовый 2 2 2 3 2 3 2" xfId="514"/>
    <cellStyle name="Финансовый 2 2 2 3 2 4" xfId="293"/>
    <cellStyle name="Финансовый 2 2 2 3 2 4 2" xfId="630"/>
    <cellStyle name="Финансовый 2 2 2 3 2 5" xfId="420"/>
    <cellStyle name="Финансовый 2 2 2 3 3" xfId="105"/>
    <cellStyle name="Финансовый 2 2 2 3 3 2" xfId="199"/>
    <cellStyle name="Финансовый 2 2 2 3 3 2 2" xfId="337"/>
    <cellStyle name="Финансовый 2 2 2 3 3 2 2 2" xfId="674"/>
    <cellStyle name="Финансовый 2 2 2 3 3 2 3" xfId="536"/>
    <cellStyle name="Финансовый 2 2 2 3 3 3" xfId="268"/>
    <cellStyle name="Финансовый 2 2 2 3 3 3 2" xfId="605"/>
    <cellStyle name="Финансовый 2 2 2 3 3 4" xfId="442"/>
    <cellStyle name="Финансовый 2 2 2 3 4" xfId="152"/>
    <cellStyle name="Финансовый 2 2 2 3 4 2" xfId="315"/>
    <cellStyle name="Финансовый 2 2 2 3 4 2 2" xfId="652"/>
    <cellStyle name="Финансовый 2 2 2 3 4 3" xfId="489"/>
    <cellStyle name="Финансовый 2 2 2 3 5" xfId="246"/>
    <cellStyle name="Финансовый 2 2 2 3 5 2" xfId="583"/>
    <cellStyle name="Финансовый 2 2 2 3 6" xfId="395"/>
    <cellStyle name="Финансовый 2 2 2 4" xfId="60"/>
    <cellStyle name="Финансовый 2 2 2 4 2" xfId="86"/>
    <cellStyle name="Финансовый 2 2 2 4 2 2" xfId="133"/>
    <cellStyle name="Финансовый 2 2 2 4 2 2 2" xfId="227"/>
    <cellStyle name="Финансовый 2 2 2 4 2 2 2 2" xfId="564"/>
    <cellStyle name="Финансовый 2 2 2 4 2 2 3" xfId="365"/>
    <cellStyle name="Финансовый 2 2 2 4 2 2 3 2" xfId="702"/>
    <cellStyle name="Финансовый 2 2 2 4 2 2 4" xfId="470"/>
    <cellStyle name="Финансовый 2 2 2 4 2 3" xfId="180"/>
    <cellStyle name="Финансовый 2 2 2 4 2 3 2" xfId="517"/>
    <cellStyle name="Финансовый 2 2 2 4 2 4" xfId="296"/>
    <cellStyle name="Финансовый 2 2 2 4 2 4 2" xfId="633"/>
    <cellStyle name="Финансовый 2 2 2 4 2 5" xfId="423"/>
    <cellStyle name="Финансовый 2 2 2 4 3" xfId="108"/>
    <cellStyle name="Финансовый 2 2 2 4 3 2" xfId="202"/>
    <cellStyle name="Финансовый 2 2 2 4 3 2 2" xfId="340"/>
    <cellStyle name="Финансовый 2 2 2 4 3 2 2 2" xfId="677"/>
    <cellStyle name="Финансовый 2 2 2 4 3 2 3" xfId="539"/>
    <cellStyle name="Финансовый 2 2 2 4 3 3" xfId="271"/>
    <cellStyle name="Финансовый 2 2 2 4 3 3 2" xfId="608"/>
    <cellStyle name="Финансовый 2 2 2 4 3 4" xfId="445"/>
    <cellStyle name="Финансовый 2 2 2 4 4" xfId="155"/>
    <cellStyle name="Финансовый 2 2 2 4 4 2" xfId="318"/>
    <cellStyle name="Финансовый 2 2 2 4 4 2 2" xfId="655"/>
    <cellStyle name="Финансовый 2 2 2 4 4 3" xfId="492"/>
    <cellStyle name="Финансовый 2 2 2 4 5" xfId="249"/>
    <cellStyle name="Финансовый 2 2 2 4 5 2" xfId="586"/>
    <cellStyle name="Финансовый 2 2 2 4 6" xfId="398"/>
    <cellStyle name="Финансовый 2 2 2 5" xfId="72"/>
    <cellStyle name="Финансовый 2 2 2 5 2" xfId="119"/>
    <cellStyle name="Финансовый 2 2 2 5 2 2" xfId="213"/>
    <cellStyle name="Финансовый 2 2 2 5 2 2 2" xfId="550"/>
    <cellStyle name="Финансовый 2 2 2 5 2 3" xfId="351"/>
    <cellStyle name="Финансовый 2 2 2 5 2 3 2" xfId="688"/>
    <cellStyle name="Финансовый 2 2 2 5 2 4" xfId="456"/>
    <cellStyle name="Финансовый 2 2 2 5 3" xfId="166"/>
    <cellStyle name="Финансовый 2 2 2 5 3 2" xfId="503"/>
    <cellStyle name="Финансовый 2 2 2 5 4" xfId="282"/>
    <cellStyle name="Финансовый 2 2 2 5 4 2" xfId="619"/>
    <cellStyle name="Финансовый 2 2 2 5 5" xfId="409"/>
    <cellStyle name="Финансовый 2 2 2 6" xfId="63"/>
    <cellStyle name="Финансовый 2 2 2 6 2" xfId="111"/>
    <cellStyle name="Финансовый 2 2 2 6 2 2" xfId="205"/>
    <cellStyle name="Финансовый 2 2 2 6 2 2 2" xfId="542"/>
    <cellStyle name="Финансовый 2 2 2 6 2 3" xfId="343"/>
    <cellStyle name="Финансовый 2 2 2 6 2 3 2" xfId="680"/>
    <cellStyle name="Финансовый 2 2 2 6 2 4" xfId="448"/>
    <cellStyle name="Финансовый 2 2 2 6 3" xfId="158"/>
    <cellStyle name="Финансовый 2 2 2 6 3 2" xfId="495"/>
    <cellStyle name="Финансовый 2 2 2 6 4" xfId="274"/>
    <cellStyle name="Финансовый 2 2 2 6 4 2" xfId="611"/>
    <cellStyle name="Финансовый 2 2 2 6 5" xfId="401"/>
    <cellStyle name="Финансовый 2 2 2 7" xfId="94"/>
    <cellStyle name="Финансовый 2 2 2 7 2" xfId="188"/>
    <cellStyle name="Финансовый 2 2 2 7 2 2" xfId="326"/>
    <cellStyle name="Финансовый 2 2 2 7 2 2 2" xfId="663"/>
    <cellStyle name="Финансовый 2 2 2 7 2 3" xfId="525"/>
    <cellStyle name="Финансовый 2 2 2 7 3" xfId="257"/>
    <cellStyle name="Финансовый 2 2 2 7 3 2" xfId="594"/>
    <cellStyle name="Финансовый 2 2 2 7 4" xfId="431"/>
    <cellStyle name="Финансовый 2 2 2 8" xfId="141"/>
    <cellStyle name="Финансовый 2 2 2 8 2" xfId="304"/>
    <cellStyle name="Финансовый 2 2 2 8 2 2" xfId="641"/>
    <cellStyle name="Финансовый 2 2 2 8 3" xfId="478"/>
    <cellStyle name="Финансовый 2 2 2 9" xfId="373"/>
    <cellStyle name="Финансовый 2 2 2 9 2" xfId="710"/>
    <cellStyle name="Финансовый 2 2 3" xfId="50"/>
    <cellStyle name="Финансовый 2 2 3 2" xfId="76"/>
    <cellStyle name="Финансовый 2 2 3 2 2" xfId="123"/>
    <cellStyle name="Финансовый 2 2 3 2 2 2" xfId="217"/>
    <cellStyle name="Финансовый 2 2 3 2 2 2 2" xfId="554"/>
    <cellStyle name="Финансовый 2 2 3 2 2 3" xfId="355"/>
    <cellStyle name="Финансовый 2 2 3 2 2 3 2" xfId="692"/>
    <cellStyle name="Финансовый 2 2 3 2 2 4" xfId="460"/>
    <cellStyle name="Финансовый 2 2 3 2 3" xfId="170"/>
    <cellStyle name="Финансовый 2 2 3 2 3 2" xfId="507"/>
    <cellStyle name="Финансовый 2 2 3 2 4" xfId="286"/>
    <cellStyle name="Финансовый 2 2 3 2 4 2" xfId="623"/>
    <cellStyle name="Финансовый 2 2 3 2 5" xfId="413"/>
    <cellStyle name="Финансовый 2 2 3 3" xfId="98"/>
    <cellStyle name="Финансовый 2 2 3 3 2" xfId="192"/>
    <cellStyle name="Финансовый 2 2 3 3 2 2" xfId="330"/>
    <cellStyle name="Финансовый 2 2 3 3 2 2 2" xfId="667"/>
    <cellStyle name="Финансовый 2 2 3 3 2 3" xfId="529"/>
    <cellStyle name="Финансовый 2 2 3 3 3" xfId="261"/>
    <cellStyle name="Финансовый 2 2 3 3 3 2" xfId="598"/>
    <cellStyle name="Финансовый 2 2 3 3 4" xfId="435"/>
    <cellStyle name="Финансовый 2 2 3 4" xfId="145"/>
    <cellStyle name="Финансовый 2 2 3 4 2" xfId="308"/>
    <cellStyle name="Финансовый 2 2 3 4 2 2" xfId="645"/>
    <cellStyle name="Финансовый 2 2 3 4 3" xfId="482"/>
    <cellStyle name="Финансовый 2 2 3 5" xfId="239"/>
    <cellStyle name="Финансовый 2 2 3 5 2" xfId="576"/>
    <cellStyle name="Финансовый 2 2 3 6" xfId="388"/>
    <cellStyle name="Финансовый 2 2 4" xfId="68"/>
    <cellStyle name="Финансовый 2 2 4 2" xfId="115"/>
    <cellStyle name="Финансовый 2 2 4 2 2" xfId="209"/>
    <cellStyle name="Финансовый 2 2 4 2 2 2" xfId="546"/>
    <cellStyle name="Финансовый 2 2 4 2 3" xfId="347"/>
    <cellStyle name="Финансовый 2 2 4 2 3 2" xfId="684"/>
    <cellStyle name="Финансовый 2 2 4 2 4" xfId="452"/>
    <cellStyle name="Финансовый 2 2 4 3" xfId="162"/>
    <cellStyle name="Финансовый 2 2 4 3 2" xfId="499"/>
    <cellStyle name="Финансовый 2 2 4 4" xfId="278"/>
    <cellStyle name="Финансовый 2 2 4 4 2" xfId="615"/>
    <cellStyle name="Финансовый 2 2 4 5" xfId="405"/>
    <cellStyle name="Финансовый 2 2 5" xfId="90"/>
    <cellStyle name="Финансовый 2 2 5 2" xfId="184"/>
    <cellStyle name="Финансовый 2 2 5 2 2" xfId="322"/>
    <cellStyle name="Финансовый 2 2 5 2 2 2" xfId="659"/>
    <cellStyle name="Финансовый 2 2 5 2 3" xfId="521"/>
    <cellStyle name="Финансовый 2 2 5 3" xfId="253"/>
    <cellStyle name="Финансовый 2 2 5 3 2" xfId="590"/>
    <cellStyle name="Финансовый 2 2 5 4" xfId="427"/>
    <cellStyle name="Финансовый 2 2 6" xfId="137"/>
    <cellStyle name="Финансовый 2 2 6 2" xfId="300"/>
    <cellStyle name="Финансовый 2 2 6 2 2" xfId="637"/>
    <cellStyle name="Финансовый 2 2 6 3" xfId="474"/>
    <cellStyle name="Финансовый 2 2 7" xfId="369"/>
    <cellStyle name="Финансовый 2 2 7 2" xfId="706"/>
    <cellStyle name="Финансовый 2 2 8" xfId="231"/>
    <cellStyle name="Финансовый 2 2 8 2" xfId="568"/>
    <cellStyle name="Финансовый 2 2 9" xfId="380"/>
    <cellStyle name="Финансовый 2 3" xfId="42"/>
    <cellStyle name="Финансовый 2 3 2" xfId="52"/>
    <cellStyle name="Финансовый 2 3 2 2" xfId="78"/>
    <cellStyle name="Финансовый 2 3 2 2 2" xfId="125"/>
    <cellStyle name="Финансовый 2 3 2 2 2 2" xfId="219"/>
    <cellStyle name="Финансовый 2 3 2 2 2 2 2" xfId="556"/>
    <cellStyle name="Финансовый 2 3 2 2 2 3" xfId="357"/>
    <cellStyle name="Финансовый 2 3 2 2 2 3 2" xfId="694"/>
    <cellStyle name="Финансовый 2 3 2 2 2 4" xfId="462"/>
    <cellStyle name="Финансовый 2 3 2 2 3" xfId="172"/>
    <cellStyle name="Финансовый 2 3 2 2 3 2" xfId="509"/>
    <cellStyle name="Финансовый 2 3 2 2 4" xfId="288"/>
    <cellStyle name="Финансовый 2 3 2 2 4 2" xfId="625"/>
    <cellStyle name="Финансовый 2 3 2 2 5" xfId="415"/>
    <cellStyle name="Финансовый 2 3 2 3" xfId="100"/>
    <cellStyle name="Финансовый 2 3 2 3 2" xfId="194"/>
    <cellStyle name="Финансовый 2 3 2 3 2 2" xfId="332"/>
    <cellStyle name="Финансовый 2 3 2 3 2 2 2" xfId="669"/>
    <cellStyle name="Финансовый 2 3 2 3 2 3" xfId="531"/>
    <cellStyle name="Финансовый 2 3 2 3 3" xfId="263"/>
    <cellStyle name="Финансовый 2 3 2 3 3 2" xfId="600"/>
    <cellStyle name="Финансовый 2 3 2 3 4" xfId="437"/>
    <cellStyle name="Финансовый 2 3 2 4" xfId="147"/>
    <cellStyle name="Финансовый 2 3 2 4 2" xfId="310"/>
    <cellStyle name="Финансовый 2 3 2 4 2 2" xfId="647"/>
    <cellStyle name="Финансовый 2 3 2 4 3" xfId="484"/>
    <cellStyle name="Финансовый 2 3 2 5" xfId="241"/>
    <cellStyle name="Финансовый 2 3 2 5 2" xfId="578"/>
    <cellStyle name="Финансовый 2 3 2 6" xfId="390"/>
    <cellStyle name="Финансовый 2 3 3" xfId="70"/>
    <cellStyle name="Финансовый 2 3 3 2" xfId="117"/>
    <cellStyle name="Финансовый 2 3 3 2 2" xfId="211"/>
    <cellStyle name="Финансовый 2 3 3 2 2 2" xfId="548"/>
    <cellStyle name="Финансовый 2 3 3 2 3" xfId="349"/>
    <cellStyle name="Финансовый 2 3 3 2 3 2" xfId="686"/>
    <cellStyle name="Финансовый 2 3 3 2 4" xfId="454"/>
    <cellStyle name="Финансовый 2 3 3 3" xfId="164"/>
    <cellStyle name="Финансовый 2 3 3 3 2" xfId="501"/>
    <cellStyle name="Финансовый 2 3 3 4" xfId="280"/>
    <cellStyle name="Финансовый 2 3 3 4 2" xfId="617"/>
    <cellStyle name="Финансовый 2 3 3 5" xfId="407"/>
    <cellStyle name="Финансовый 2 3 4" xfId="92"/>
    <cellStyle name="Финансовый 2 3 4 2" xfId="186"/>
    <cellStyle name="Финансовый 2 3 4 2 2" xfId="324"/>
    <cellStyle name="Финансовый 2 3 4 2 2 2" xfId="661"/>
    <cellStyle name="Финансовый 2 3 4 2 3" xfId="523"/>
    <cellStyle name="Финансовый 2 3 4 3" xfId="255"/>
    <cellStyle name="Финансовый 2 3 4 3 2" xfId="592"/>
    <cellStyle name="Финансовый 2 3 4 4" xfId="429"/>
    <cellStyle name="Финансовый 2 3 5" xfId="139"/>
    <cellStyle name="Финансовый 2 3 5 2" xfId="302"/>
    <cellStyle name="Финансовый 2 3 5 2 2" xfId="639"/>
    <cellStyle name="Финансовый 2 3 5 3" xfId="476"/>
    <cellStyle name="Финансовый 2 3 6" xfId="371"/>
    <cellStyle name="Финансовый 2 3 6 2" xfId="708"/>
    <cellStyle name="Финансовый 2 3 7" xfId="233"/>
    <cellStyle name="Финансовый 2 3 7 2" xfId="570"/>
    <cellStyle name="Финансовый 2 3 8" xfId="382"/>
    <cellStyle name="Финансовый 2 4" xfId="48"/>
    <cellStyle name="Финансовый 2 4 2" xfId="74"/>
    <cellStyle name="Финансовый 2 4 2 2" xfId="121"/>
    <cellStyle name="Финансовый 2 4 2 2 2" xfId="215"/>
    <cellStyle name="Финансовый 2 4 2 2 2 2" xfId="552"/>
    <cellStyle name="Финансовый 2 4 2 2 3" xfId="353"/>
    <cellStyle name="Финансовый 2 4 2 2 3 2" xfId="690"/>
    <cellStyle name="Финансовый 2 4 2 2 4" xfId="458"/>
    <cellStyle name="Финансовый 2 4 2 3" xfId="168"/>
    <cellStyle name="Финансовый 2 4 2 3 2" xfId="505"/>
    <cellStyle name="Финансовый 2 4 2 4" xfId="284"/>
    <cellStyle name="Финансовый 2 4 2 4 2" xfId="621"/>
    <cellStyle name="Финансовый 2 4 2 5" xfId="411"/>
    <cellStyle name="Финансовый 2 4 3" xfId="96"/>
    <cellStyle name="Финансовый 2 4 3 2" xfId="190"/>
    <cellStyle name="Финансовый 2 4 3 2 2" xfId="328"/>
    <cellStyle name="Финансовый 2 4 3 2 2 2" xfId="665"/>
    <cellStyle name="Финансовый 2 4 3 2 3" xfId="527"/>
    <cellStyle name="Финансовый 2 4 3 3" xfId="259"/>
    <cellStyle name="Финансовый 2 4 3 3 2" xfId="596"/>
    <cellStyle name="Финансовый 2 4 3 4" xfId="433"/>
    <cellStyle name="Финансовый 2 4 4" xfId="143"/>
    <cellStyle name="Финансовый 2 4 4 2" xfId="306"/>
    <cellStyle name="Финансовый 2 4 4 2 2" xfId="643"/>
    <cellStyle name="Финансовый 2 4 4 3" xfId="480"/>
    <cellStyle name="Финансовый 2 4 5" xfId="237"/>
    <cellStyle name="Финансовый 2 4 5 2" xfId="574"/>
    <cellStyle name="Финансовый 2 4 6" xfId="386"/>
    <cellStyle name="Финансовый 2 5" xfId="56"/>
    <cellStyle name="Финансовый 2 5 2" xfId="82"/>
    <cellStyle name="Финансовый 2 5 2 2" xfId="129"/>
    <cellStyle name="Финансовый 2 5 2 2 2" xfId="223"/>
    <cellStyle name="Финансовый 2 5 2 2 2 2" xfId="560"/>
    <cellStyle name="Финансовый 2 5 2 2 3" xfId="361"/>
    <cellStyle name="Финансовый 2 5 2 2 3 2" xfId="698"/>
    <cellStyle name="Финансовый 2 5 2 2 4" xfId="466"/>
    <cellStyle name="Финансовый 2 5 2 3" xfId="176"/>
    <cellStyle name="Финансовый 2 5 2 3 2" xfId="513"/>
    <cellStyle name="Финансовый 2 5 2 4" xfId="292"/>
    <cellStyle name="Финансовый 2 5 2 4 2" xfId="629"/>
    <cellStyle name="Финансовый 2 5 2 5" xfId="419"/>
    <cellStyle name="Финансовый 2 5 3" xfId="104"/>
    <cellStyle name="Финансовый 2 5 3 2" xfId="198"/>
    <cellStyle name="Финансовый 2 5 3 2 2" xfId="336"/>
    <cellStyle name="Финансовый 2 5 3 2 2 2" xfId="673"/>
    <cellStyle name="Финансовый 2 5 3 2 3" xfId="535"/>
    <cellStyle name="Финансовый 2 5 3 3" xfId="267"/>
    <cellStyle name="Финансовый 2 5 3 3 2" xfId="604"/>
    <cellStyle name="Финансовый 2 5 3 4" xfId="441"/>
    <cellStyle name="Финансовый 2 5 4" xfId="151"/>
    <cellStyle name="Финансовый 2 5 4 2" xfId="314"/>
    <cellStyle name="Финансовый 2 5 4 2 2" xfId="651"/>
    <cellStyle name="Финансовый 2 5 4 3" xfId="488"/>
    <cellStyle name="Финансовый 2 5 5" xfId="245"/>
    <cellStyle name="Финансовый 2 5 5 2" xfId="582"/>
    <cellStyle name="Финансовый 2 5 6" xfId="394"/>
    <cellStyle name="Финансовый 2 6" xfId="59"/>
    <cellStyle name="Финансовый 2 6 2" xfId="85"/>
    <cellStyle name="Финансовый 2 6 2 2" xfId="132"/>
    <cellStyle name="Финансовый 2 6 2 2 2" xfId="226"/>
    <cellStyle name="Финансовый 2 6 2 2 2 2" xfId="563"/>
    <cellStyle name="Финансовый 2 6 2 2 3" xfId="364"/>
    <cellStyle name="Финансовый 2 6 2 2 3 2" xfId="701"/>
    <cellStyle name="Финансовый 2 6 2 2 4" xfId="469"/>
    <cellStyle name="Финансовый 2 6 2 3" xfId="179"/>
    <cellStyle name="Финансовый 2 6 2 3 2" xfId="516"/>
    <cellStyle name="Финансовый 2 6 2 4" xfId="295"/>
    <cellStyle name="Финансовый 2 6 2 4 2" xfId="632"/>
    <cellStyle name="Финансовый 2 6 2 5" xfId="422"/>
    <cellStyle name="Финансовый 2 6 3" xfId="107"/>
    <cellStyle name="Финансовый 2 6 3 2" xfId="201"/>
    <cellStyle name="Финансовый 2 6 3 2 2" xfId="339"/>
    <cellStyle name="Финансовый 2 6 3 2 2 2" xfId="676"/>
    <cellStyle name="Финансовый 2 6 3 2 3" xfId="538"/>
    <cellStyle name="Финансовый 2 6 3 3" xfId="270"/>
    <cellStyle name="Финансовый 2 6 3 3 2" xfId="607"/>
    <cellStyle name="Финансовый 2 6 3 4" xfId="444"/>
    <cellStyle name="Финансовый 2 6 4" xfId="154"/>
    <cellStyle name="Финансовый 2 6 4 2" xfId="317"/>
    <cellStyle name="Финансовый 2 6 4 2 2" xfId="654"/>
    <cellStyle name="Финансовый 2 6 4 3" xfId="491"/>
    <cellStyle name="Финансовый 2 6 5" xfId="248"/>
    <cellStyle name="Финансовый 2 6 5 2" xfId="585"/>
    <cellStyle name="Финансовый 2 6 6" xfId="397"/>
    <cellStyle name="Финансовый 2 7" xfId="66"/>
    <cellStyle name="Финансовый 2 7 2" xfId="113"/>
    <cellStyle name="Финансовый 2 7 2 2" xfId="207"/>
    <cellStyle name="Финансовый 2 7 2 2 2" xfId="544"/>
    <cellStyle name="Финансовый 2 7 2 3" xfId="345"/>
    <cellStyle name="Финансовый 2 7 2 3 2" xfId="682"/>
    <cellStyle name="Финансовый 2 7 2 4" xfId="450"/>
    <cellStyle name="Финансовый 2 7 3" xfId="160"/>
    <cellStyle name="Финансовый 2 7 3 2" xfId="497"/>
    <cellStyle name="Финансовый 2 7 4" xfId="276"/>
    <cellStyle name="Финансовый 2 7 4 2" xfId="613"/>
    <cellStyle name="Финансовый 2 7 5" xfId="403"/>
    <cellStyle name="Финансовый 2 8" xfId="62"/>
    <cellStyle name="Финансовый 2 8 2" xfId="110"/>
    <cellStyle name="Финансовый 2 8 2 2" xfId="204"/>
    <cellStyle name="Финансовый 2 8 2 2 2" xfId="541"/>
    <cellStyle name="Финансовый 2 8 2 3" xfId="342"/>
    <cellStyle name="Финансовый 2 8 2 3 2" xfId="679"/>
    <cellStyle name="Финансовый 2 8 2 4" xfId="447"/>
    <cellStyle name="Финансовый 2 8 3" xfId="157"/>
    <cellStyle name="Финансовый 2 8 3 2" xfId="494"/>
    <cellStyle name="Финансовый 2 8 4" xfId="273"/>
    <cellStyle name="Финансовый 2 8 4 2" xfId="610"/>
    <cellStyle name="Финансовый 2 8 5" xfId="400"/>
    <cellStyle name="Финансовый 2 9" xfId="88"/>
    <cellStyle name="Финансовый 2 9 2" xfId="182"/>
    <cellStyle name="Финансовый 2 9 2 2" xfId="320"/>
    <cellStyle name="Финансовый 2 9 2 2 2" xfId="657"/>
    <cellStyle name="Финансовый 2 9 2 3" xfId="519"/>
    <cellStyle name="Финансовый 2 9 3" xfId="251"/>
    <cellStyle name="Финансовый 2 9 3 2" xfId="588"/>
    <cellStyle name="Финансовый 2 9 4" xfId="425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990000"/>
      <color rgb="FF0000FF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commons.wikimedia.org/wiki/File:Flag_of_Susumansky_rayon_(Magadan_Oblast).svg?uselang=ru" TargetMode="External"/><Relationship Id="rId3" Type="http://schemas.openxmlformats.org/officeDocument/2006/relationships/hyperlink" Target="https://commons.wikimedia.org/wiki/File:COA_Magadan,_Russian_Federation.svg?uselang=ru" TargetMode="External"/><Relationship Id="rId7" Type="http://schemas.openxmlformats.org/officeDocument/2006/relationships/hyperlink" Target="https://commons.wikimedia.org/wiki/File:Flag_of_Omsukchansky_district.png?uselang=ru" TargetMode="External"/><Relationship Id="rId12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9.gif"/><Relationship Id="rId1" Type="http://schemas.openxmlformats.org/officeDocument/2006/relationships/hyperlink" Target="https://commons.wikimedia.org/wiki/File:Flag_of_Magadan.svg?uselang=ru" TargetMode="External"/><Relationship Id="rId6" Type="http://schemas.openxmlformats.org/officeDocument/2006/relationships/image" Target="../media/image4.png"/><Relationship Id="rId11" Type="http://schemas.openxmlformats.org/officeDocument/2006/relationships/hyperlink" Target="https://commons.wikimedia.org/wiki/File:Flag_of_Srednekansky_rayon_(Magadan_Oblast).png?uselang=ru" TargetMode="External"/><Relationship Id="rId5" Type="http://schemas.openxmlformats.org/officeDocument/2006/relationships/hyperlink" Target="https://commons.wikimedia.org/wiki/File:Flag_of_Olsky_rayon_(Magadan_Oblast).png?uselang=ru" TargetMode="External"/><Relationship Id="rId15" Type="http://schemas.openxmlformats.org/officeDocument/2006/relationships/hyperlink" Target="https://commons.wikimedia.org/wiki/File:Gerb-Susumansky-region.gif?uselang=ru" TargetMode="External"/><Relationship Id="rId10" Type="http://schemas.openxmlformats.org/officeDocument/2006/relationships/image" Target="../media/image6.gif"/><Relationship Id="rId4" Type="http://schemas.openxmlformats.org/officeDocument/2006/relationships/image" Target="../media/image3.png"/><Relationship Id="rId9" Type="http://schemas.openxmlformats.org/officeDocument/2006/relationships/hyperlink" Target="https://commons.wikimedia.org/wiki/File:Coat_of_Arms_of_Severo_Evenksky_rayon_(Magadan_oblast).gif?uselang=ru" TargetMode="External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18</xdr:row>
      <xdr:rowOff>161925</xdr:rowOff>
    </xdr:from>
    <xdr:to>
      <xdr:col>2</xdr:col>
      <xdr:colOff>2299415</xdr:colOff>
      <xdr:row>19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3401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571500</xdr:colOff>
      <xdr:row>12</xdr:row>
      <xdr:rowOff>57150</xdr:rowOff>
    </xdr:to>
    <xdr:pic>
      <xdr:nvPicPr>
        <xdr:cNvPr id="2" name="Рисунок 1" descr="Flag of Magadan.sv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8122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428625</xdr:colOff>
      <xdr:row>13</xdr:row>
      <xdr:rowOff>47625</xdr:rowOff>
    </xdr:to>
    <xdr:pic>
      <xdr:nvPicPr>
        <xdr:cNvPr id="3" name="Рисунок 2" descr="COA Magadan, Russian Federation.sv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1225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57150</xdr:rowOff>
    </xdr:from>
    <xdr:to>
      <xdr:col>3</xdr:col>
      <xdr:colOff>571500</xdr:colOff>
      <xdr:row>15</xdr:row>
      <xdr:rowOff>114300</xdr:rowOff>
    </xdr:to>
    <xdr:pic>
      <xdr:nvPicPr>
        <xdr:cNvPr id="4" name="Рисунок 3" descr="Flag of Olsky rayon (Magadan Oblast).png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88607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123825</xdr:rowOff>
    </xdr:from>
    <xdr:to>
      <xdr:col>3</xdr:col>
      <xdr:colOff>571500</xdr:colOff>
      <xdr:row>16</xdr:row>
      <xdr:rowOff>180975</xdr:rowOff>
    </xdr:to>
    <xdr:pic>
      <xdr:nvPicPr>
        <xdr:cNvPr id="5" name="Рисунок 4" descr="Flag of Omsukchansky district.png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28575</xdr:rowOff>
    </xdr:from>
    <xdr:to>
      <xdr:col>4</xdr:col>
      <xdr:colOff>428625</xdr:colOff>
      <xdr:row>18</xdr:row>
      <xdr:rowOff>238125</xdr:rowOff>
    </xdr:to>
    <xdr:pic>
      <xdr:nvPicPr>
        <xdr:cNvPr id="6" name="Рисунок 5" descr="Coat of Arms of Severo Evenksky rayon (Magadan oblast).gif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90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19</xdr:row>
      <xdr:rowOff>85725</xdr:rowOff>
    </xdr:from>
    <xdr:to>
      <xdr:col>3</xdr:col>
      <xdr:colOff>571500</xdr:colOff>
      <xdr:row>20</xdr:row>
      <xdr:rowOff>142875</xdr:rowOff>
    </xdr:to>
    <xdr:pic>
      <xdr:nvPicPr>
        <xdr:cNvPr id="7" name="Рисунок 6" descr="Flag of Srednekansky rayon (Magadan Oblast).pn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339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20</xdr:row>
      <xdr:rowOff>314325</xdr:rowOff>
    </xdr:from>
    <xdr:to>
      <xdr:col>3</xdr:col>
      <xdr:colOff>571500</xdr:colOff>
      <xdr:row>23</xdr:row>
      <xdr:rowOff>47625</xdr:rowOff>
    </xdr:to>
    <xdr:pic>
      <xdr:nvPicPr>
        <xdr:cNvPr id="8" name="Рисунок 7" descr="Flag of Susumansky rayon (Magadan Oblast).svg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8635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314325</xdr:rowOff>
    </xdr:from>
    <xdr:to>
      <xdr:col>4</xdr:col>
      <xdr:colOff>428625</xdr:colOff>
      <xdr:row>24</xdr:row>
      <xdr:rowOff>38100</xdr:rowOff>
    </xdr:to>
    <xdr:pic>
      <xdr:nvPicPr>
        <xdr:cNvPr id="9" name="Рисунок 8" descr="Gerb-Susumansky-reg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63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3" Type="http://schemas.openxmlformats.org/officeDocument/2006/relationships/hyperlink" Target="https://ru.wikipedia.org/wiki/%D0%9E%D0%BC%D1%81%D1%83%D0%BA%D1%87%D0%B0%D0%BD" TargetMode="External"/><Relationship Id="rId18" Type="http://schemas.openxmlformats.org/officeDocument/2006/relationships/hyperlink" Target="https://ru.wikipedia.org/wiki/%D0%A1%D1%80%D0%B5%D0%B4%D0%BD%D0%B5%D0%BA%D0%B0%D0%BD%D1%81%D0%BA%D0%B8%D0%B9_%D1%80%D0%B0%D0%B9%D0%BE%D0%BD" TargetMode="External"/><Relationship Id="rId26" Type="http://schemas.openxmlformats.org/officeDocument/2006/relationships/hyperlink" Target="https://ru.wikipedia.org/wiki/%D0%A2%D0%B5%D0%BD%D1%8C%D0%BA%D0%B8%D0%BD%D1%81%D0%BA%D0%B8%D0%B9_%D1%80%D0%B0%D0%B9%D0%BE%D0%BD" TargetMode="External"/><Relationship Id="rId3" Type="http://schemas.openxmlformats.org/officeDocument/2006/relationships/hyperlink" Target="http://classif.spb.ru/classificators/view/okt.php?st=A&amp;kr=1&amp;kod=44401" TargetMode="External"/><Relationship Id="rId21" Type="http://schemas.openxmlformats.org/officeDocument/2006/relationships/hyperlink" Target="https://ru.wikipedia.org/wiki/%D0%A1%D0%B5%D0%B9%D0%BC%D1%87%D0%B0%D0%BD_(%D0%BF%D0%BE%D1%81%D1%91%D0%BB%D0%BE%D0%BA)" TargetMode="External"/><Relationship Id="rId34" Type="http://schemas.openxmlformats.org/officeDocument/2006/relationships/hyperlink" Target="https://ru.wikipedia.org/wiki/%D0%AF%D0%B3%D0%BE%D0%B4%D0%BD%D0%B8%D0%BD%D1%81%D0%BA%D0%B8%D0%B9_%D1%80%D0%B0%D0%B9%D0%BE%D0%BD" TargetMode="External"/><Relationship Id="rId7" Type="http://schemas.openxmlformats.org/officeDocument/2006/relationships/hyperlink" Target="http://classif.spb.ru/classificators/view/okt.php?st=A&amp;kr=1&amp;kod=44201" TargetMode="External"/><Relationship Id="rId1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7" Type="http://schemas.openxmlformats.org/officeDocument/2006/relationships/hyperlink" Target="https://ru.wikipedia.org/wiki/%D0%AD%D0%B2%D0%B5%D0%BD%D1%81%D0%BA" TargetMode="External"/><Relationship Id="rId25" Type="http://schemas.openxmlformats.org/officeDocument/2006/relationships/hyperlink" Target="https://ru.wikipedia.org/wiki/%D0%A1%D1%83%D1%81%D1%83%D0%BC%D0%B0%D0%BD" TargetMode="External"/><Relationship Id="rId33" Type="http://schemas.openxmlformats.org/officeDocument/2006/relationships/hyperlink" Target="https://ru.wikipedia.org/wiki/%D0%9F%D0%B0%D0%BB%D0%B0%D1%82%D0%BA%D0%B0_(%D0%9C%D0%B0%D0%B3%D0%B0%D0%B4%D0%B0%D0%BD%D1%81%D0%BA%D0%B0%D1%8F_%D0%BE%D0%B1%D0%BB%D0%B0%D1%81%D1%82%D1%8C)" TargetMode="External"/><Relationship Id="rId38" Type="http://schemas.openxmlformats.org/officeDocument/2006/relationships/drawing" Target="../drawings/drawing6.xml"/><Relationship Id="rId2" Type="http://schemas.openxmlformats.org/officeDocument/2006/relationships/hyperlink" Target="https://ru.wikipedia.org/wiki/%D0%93%D0%BE%D1%80%D0%BE%D0%B4%D1%81%D0%BA%D0%BE%D0%B9_%D0%BE%D0%BA%D1%80%D1%83%D0%B3_%D0%B3%D0%BE%D1%80%D0%BE%D0%B4_%D0%9C%D0%B0%D0%B3%D0%B0%D0%B4%D0%B0%D0%BD" TargetMode="External"/><Relationship Id="rId1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0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9" Type="http://schemas.openxmlformats.org/officeDocument/2006/relationships/hyperlink" Target="https://ru.wikipedia.org/wiki/%D0%A3%D1%81%D1%82%D1%8C-%D0%9E%D0%BC%D1%87%D1%83%D0%B3" TargetMode="External"/><Relationship Id="rId1" Type="http://schemas.openxmlformats.org/officeDocument/2006/relationships/hyperlink" Target="https://ru.wikipedia.org/wiki/%D0%9E%D0%9A%D0%90%D0%A2%D0%9E" TargetMode="External"/><Relationship Id="rId6" Type="http://schemas.openxmlformats.org/officeDocument/2006/relationships/hyperlink" Target="https://ru.wikipedia.org/wiki/%D0%9E%D0%BB%D1%8C%D1%81%D0%BA%D0%B8%D0%B9_%D1%80%D0%B0%D0%B9%D0%BE%D0%BD" TargetMode="External"/><Relationship Id="rId11" Type="http://schemas.openxmlformats.org/officeDocument/2006/relationships/hyperlink" Target="http://classif.spb.ru/classificators/view/okt.php?st=A&amp;kr=1&amp;kod=44204" TargetMode="External"/><Relationship Id="rId2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7" Type="http://schemas.openxmlformats.org/officeDocument/2006/relationships/hyperlink" Target="https://ru.wikipedia.org/wiki/%D0%AF%D0%B3%D0%BE%D0%B4%D0%BD%D0%BE%D0%B5_(%D0%9C%D0%B0%D0%B3%D0%B0%D0%B4%D0%B0%D0%BD%D1%81%D0%BA%D0%B0%D1%8F_%D0%BE%D0%B1%D0%BB%D0%B0%D1%81%D1%82%D1%8C)" TargetMode="External"/><Relationship Id="rId5" Type="http://schemas.openxmlformats.org/officeDocument/2006/relationships/hyperlink" Target="https://ru.wikipedia.org/wiki/%D0%9C%D0%B0%D0%B3%D0%B0%D0%B4%D0%B0%D0%BD" TargetMode="External"/><Relationship Id="rId15" Type="http://schemas.openxmlformats.org/officeDocument/2006/relationships/hyperlink" Target="http://classif.spb.ru/classificators/view/okt.php?st=A&amp;kr=1&amp;kod=44207" TargetMode="External"/><Relationship Id="rId23" Type="http://schemas.openxmlformats.org/officeDocument/2006/relationships/hyperlink" Target="http://classif.spb.ru/classificators/view/okt.php?st=A&amp;kr=1&amp;kod=44213" TargetMode="External"/><Relationship Id="rId2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0" Type="http://schemas.openxmlformats.org/officeDocument/2006/relationships/hyperlink" Target="https://ru.wikipedia.org/wiki/%D0%9E%D0%BC%D1%81%D1%83%D0%BA%D1%87%D0%B0%D0%BD%D1%81%D0%BA%D0%B8%D0%B9_%D1%80%D0%B0%D0%B9%D0%BE%D0%BD" TargetMode="External"/><Relationship Id="rId19" Type="http://schemas.openxmlformats.org/officeDocument/2006/relationships/hyperlink" Target="http://classif.spb.ru/classificators/view/okt.php?st=A&amp;kr=1&amp;kod=44210" TargetMode="External"/><Relationship Id="rId31" Type="http://schemas.openxmlformats.org/officeDocument/2006/relationships/hyperlink" Target="http://classif.spb.ru/classificators/view/okt.php?st=A&amp;kr=1&amp;kod=44219" TargetMode="External"/><Relationship Id="rId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9" Type="http://schemas.openxmlformats.org/officeDocument/2006/relationships/hyperlink" Target="https://ru.wikipedia.org/wiki/%D0%9E%D0%BB%D0%B0" TargetMode="External"/><Relationship Id="rId14" Type="http://schemas.openxmlformats.org/officeDocument/2006/relationships/hyperlink" Target="https://ru.wikipedia.org/wiki/%D0%A1%D0%B5%D0%B2%D0%B5%D1%80%D0%BE-%D0%AD%D0%B2%D0%B5%D0%BD%D1%81%D0%BA%D0%B8%D0%B9_%D1%80%D0%B0%D0%B9%D0%BE%D0%BD" TargetMode="External"/><Relationship Id="rId22" Type="http://schemas.openxmlformats.org/officeDocument/2006/relationships/hyperlink" Target="https://ru.wikipedia.org/wiki/%D0%A1%D1%83%D1%81%D1%83%D0%BC%D0%B0%D0%BD%D1%81%D0%BA%D0%B8%D0%B9_%D1%80%D0%B0%D0%B9%D0%BE%D0%BD" TargetMode="External"/><Relationship Id="rId27" Type="http://schemas.openxmlformats.org/officeDocument/2006/relationships/hyperlink" Target="http://classif.spb.ru/classificators/view/okt.php?st=A&amp;kr=1&amp;kod=44216" TargetMode="External"/><Relationship Id="rId30" Type="http://schemas.openxmlformats.org/officeDocument/2006/relationships/hyperlink" Target="https://ru.wikipedia.org/wiki/%D0%A5%D0%B0%D1%81%D1%8B%D0%BD%D1%81%D0%BA%D0%B8%D0%B9_%D1%80%D0%B0%D0%B9%D0%BE%D0%BD" TargetMode="External"/><Relationship Id="rId35" Type="http://schemas.openxmlformats.org/officeDocument/2006/relationships/hyperlink" Target="http://classif.spb.ru/classificators/view/okt.php?st=A&amp;kr=1&amp;kod=44222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6" t="s">
        <v>0</v>
      </c>
      <c r="B1" s="276"/>
      <c r="C1" s="276"/>
      <c r="D1" s="276"/>
      <c r="E1" s="276"/>
      <c r="F1" s="276"/>
      <c r="G1" s="79"/>
      <c r="H1" s="79"/>
      <c r="I1" s="79"/>
    </row>
    <row r="2" spans="1:12" ht="35.25" customHeight="1" x14ac:dyDescent="0.25">
      <c r="A2" s="277" t="s">
        <v>49</v>
      </c>
      <c r="B2" s="277"/>
      <c r="C2" s="277"/>
      <c r="D2" s="277"/>
      <c r="E2" s="277"/>
      <c r="F2" s="277"/>
      <c r="G2" s="81"/>
      <c r="H2" s="79"/>
      <c r="I2" s="79"/>
    </row>
    <row r="3" spans="1:12" ht="13.5" customHeight="1" x14ac:dyDescent="0.25">
      <c r="A3" s="277"/>
      <c r="B3" s="277"/>
      <c r="C3" s="277"/>
      <c r="D3" s="277"/>
      <c r="E3" s="277"/>
      <c r="F3" s="277"/>
      <c r="G3" s="277"/>
      <c r="H3" s="276"/>
      <c r="I3" s="276"/>
    </row>
    <row r="4" spans="1:12" ht="15.75" customHeight="1" x14ac:dyDescent="0.25">
      <c r="A4" s="278" t="s">
        <v>7</v>
      </c>
      <c r="B4" s="278" t="s">
        <v>8</v>
      </c>
      <c r="C4" s="281" t="s">
        <v>56</v>
      </c>
      <c r="D4" s="281" t="s">
        <v>27</v>
      </c>
      <c r="E4" s="281" t="s">
        <v>43</v>
      </c>
      <c r="F4" s="281" t="s">
        <v>48</v>
      </c>
    </row>
    <row r="5" spans="1:12" x14ac:dyDescent="0.25">
      <c r="A5" s="279"/>
      <c r="B5" s="279"/>
      <c r="C5" s="282"/>
      <c r="D5" s="282"/>
      <c r="E5" s="282"/>
      <c r="F5" s="282"/>
    </row>
    <row r="6" spans="1:12" ht="99.75" customHeight="1" x14ac:dyDescent="0.25">
      <c r="A6" s="280"/>
      <c r="B6" s="280"/>
      <c r="C6" s="283"/>
      <c r="D6" s="283"/>
      <c r="E6" s="283"/>
      <c r="F6" s="283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T36"/>
  <sheetViews>
    <sheetView view="pageBreakPreview" zoomScale="80" zoomScaleNormal="53" zoomScaleSheetLayoutView="8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I21" sqref="I21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17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8" style="1" customWidth="1"/>
    <col min="14" max="14" width="16.85546875" style="1" customWidth="1"/>
    <col min="15" max="15" width="21.140625" style="1" customWidth="1"/>
    <col min="16" max="16" width="15" style="1" bestFit="1" customWidth="1"/>
    <col min="17" max="17" width="9.28515625" style="1" bestFit="1" customWidth="1"/>
    <col min="18" max="18" width="9.140625" style="1"/>
    <col min="19" max="19" width="15" style="1" bestFit="1" customWidth="1"/>
    <col min="20" max="20" width="15.85546875" style="1" bestFit="1" customWidth="1"/>
    <col min="21" max="21" width="15" style="1" bestFit="1" customWidth="1"/>
    <col min="22" max="16384" width="9.140625" style="1"/>
  </cols>
  <sheetData>
    <row r="1" spans="2:20" ht="18" customHeight="1" x14ac:dyDescent="0.3">
      <c r="C1" s="352" t="s">
        <v>148</v>
      </c>
      <c r="D1" s="352"/>
      <c r="E1" s="352"/>
      <c r="F1" s="352"/>
      <c r="G1" s="352"/>
      <c r="H1" s="352"/>
      <c r="I1" s="352"/>
      <c r="J1" s="140"/>
      <c r="K1" s="140"/>
    </row>
    <row r="2" spans="2:20" ht="22.5" customHeight="1" x14ac:dyDescent="0.3">
      <c r="C2" s="352"/>
      <c r="D2" s="352"/>
      <c r="E2" s="352"/>
      <c r="F2" s="352"/>
      <c r="G2" s="352"/>
      <c r="H2" s="352"/>
      <c r="I2" s="352"/>
      <c r="J2" s="141"/>
      <c r="K2" s="141"/>
    </row>
    <row r="3" spans="2:20" ht="37.5" customHeight="1" x14ac:dyDescent="0.3">
      <c r="C3" s="286"/>
      <c r="D3" s="286"/>
      <c r="E3" s="286"/>
      <c r="F3" s="286"/>
      <c r="G3" s="286"/>
      <c r="H3" s="286"/>
      <c r="I3" s="286"/>
      <c r="J3" s="144"/>
      <c r="K3" s="144"/>
    </row>
    <row r="4" spans="2:20" s="3" customFormat="1" ht="43.9" customHeight="1" x14ac:dyDescent="0.3">
      <c r="B4" s="353" t="s">
        <v>7</v>
      </c>
      <c r="C4" s="353" t="s">
        <v>8</v>
      </c>
      <c r="D4" s="353" t="s">
        <v>9</v>
      </c>
      <c r="E4" s="353" t="s">
        <v>27</v>
      </c>
      <c r="F4" s="353" t="s">
        <v>149</v>
      </c>
      <c r="G4" s="353" t="s">
        <v>21</v>
      </c>
      <c r="H4" s="314" t="s">
        <v>20</v>
      </c>
      <c r="I4" s="314"/>
      <c r="J4" s="52"/>
      <c r="K4" s="52"/>
    </row>
    <row r="5" spans="2:20" s="4" customFormat="1" ht="62.25" customHeight="1" x14ac:dyDescent="0.3">
      <c r="B5" s="354"/>
      <c r="C5" s="354"/>
      <c r="D5" s="354"/>
      <c r="E5" s="354"/>
      <c r="F5" s="354"/>
      <c r="G5" s="354"/>
      <c r="H5" s="314"/>
      <c r="I5" s="314"/>
      <c r="J5" s="52"/>
      <c r="K5" s="52"/>
    </row>
    <row r="6" spans="2:20" s="4" customFormat="1" ht="49.5" customHeight="1" x14ac:dyDescent="0.3">
      <c r="B6" s="355"/>
      <c r="C6" s="355"/>
      <c r="D6" s="355"/>
      <c r="E6" s="355"/>
      <c r="F6" s="355"/>
      <c r="G6" s="355"/>
      <c r="H6" s="110" t="s">
        <v>46</v>
      </c>
      <c r="I6" s="110" t="s">
        <v>47</v>
      </c>
      <c r="J6" s="52"/>
      <c r="K6" s="52"/>
      <c r="O6" s="146" t="s">
        <v>150</v>
      </c>
      <c r="R6" s="360" t="s">
        <v>151</v>
      </c>
      <c r="S6" s="360"/>
    </row>
    <row r="7" spans="2:20" s="5" customFormat="1" ht="26.25" customHeight="1" x14ac:dyDescent="0.3">
      <c r="B7" s="142">
        <v>1</v>
      </c>
      <c r="C7" s="142">
        <v>2</v>
      </c>
      <c r="D7" s="142"/>
      <c r="E7" s="139">
        <v>3</v>
      </c>
      <c r="F7" s="139">
        <v>4</v>
      </c>
      <c r="G7" s="139">
        <v>5</v>
      </c>
      <c r="H7" s="139">
        <v>6</v>
      </c>
      <c r="I7" s="139">
        <v>7</v>
      </c>
      <c r="J7" s="52"/>
      <c r="K7" s="52"/>
    </row>
    <row r="8" spans="2:20" s="5" customFormat="1" ht="26.25" customHeight="1" x14ac:dyDescent="0.3">
      <c r="B8" s="229">
        <v>1</v>
      </c>
      <c r="C8" s="9" t="s">
        <v>1</v>
      </c>
      <c r="D8" s="229"/>
      <c r="E8" s="230">
        <f>ROUND((14103-725)*2.9,0)+(10756-777)</f>
        <v>48775</v>
      </c>
      <c r="F8" s="233" t="e">
        <f>#REF!</f>
        <v>#REF!</v>
      </c>
      <c r="G8" s="111" t="e">
        <f>F8/E8</f>
        <v>#REF!</v>
      </c>
      <c r="H8" s="237" t="e">
        <f>ROUND(K9/L9,2)</f>
        <v>#REF!</v>
      </c>
      <c r="I8" s="237" t="e">
        <f>ROUND(H8*2.9,2)</f>
        <v>#REF!</v>
      </c>
      <c r="J8" s="54" t="e">
        <f>G8*E8</f>
        <v>#REF!</v>
      </c>
      <c r="K8" s="52"/>
      <c r="M8" s="54" t="e">
        <f>E8*$H$8</f>
        <v>#REF!</v>
      </c>
      <c r="N8" s="234" t="e">
        <f>M8-J8</f>
        <v>#REF!</v>
      </c>
      <c r="O8" s="235">
        <f>(10756-777)</f>
        <v>9979</v>
      </c>
      <c r="P8" s="147" t="e">
        <f>ROUND(O8*G8/1000,2)+0.01</f>
        <v>#REF!</v>
      </c>
      <c r="R8" s="235">
        <f>ROUND((14103-725)*2.9,0)</f>
        <v>38796</v>
      </c>
      <c r="S8" s="147" t="e">
        <f>ROUND(R8*G8/1000,2)</f>
        <v>#REF!</v>
      </c>
      <c r="T8" s="236" t="e">
        <f>F8/1000-S8-P8</f>
        <v>#REF!</v>
      </c>
    </row>
    <row r="9" spans="2:20" ht="26.25" customHeight="1" x14ac:dyDescent="0.3">
      <c r="B9" s="229">
        <v>6</v>
      </c>
      <c r="C9" s="9" t="s">
        <v>6</v>
      </c>
      <c r="D9" s="9">
        <v>14000</v>
      </c>
      <c r="E9" s="230">
        <f>ROUND((8005-1069)*2.9,0)+(3271-591)</f>
        <v>22794</v>
      </c>
      <c r="F9" s="233" t="e">
        <f>#REF!</f>
        <v>#REF!</v>
      </c>
      <c r="G9" s="111" t="e">
        <f>F9/E9</f>
        <v>#REF!</v>
      </c>
      <c r="H9" s="238"/>
      <c r="I9" s="238"/>
      <c r="J9" s="54" t="e">
        <f t="shared" ref="J9:J13" si="0">G9*E9</f>
        <v>#REF!</v>
      </c>
      <c r="K9" s="136" t="e">
        <f>J9+J8+J10</f>
        <v>#REF!</v>
      </c>
      <c r="L9" s="137">
        <f>E9+E8+E10</f>
        <v>91470</v>
      </c>
      <c r="M9" s="54" t="e">
        <f>E9*$H$8</f>
        <v>#REF!</v>
      </c>
      <c r="N9" s="234" t="e">
        <f t="shared" ref="N9:N14" si="1">M9-J9</f>
        <v>#REF!</v>
      </c>
      <c r="O9" s="235">
        <f>(3271-591)</f>
        <v>2680</v>
      </c>
      <c r="P9" s="147" t="e">
        <f>ROUND(O9*G9/1000,2)+0.01</f>
        <v>#REF!</v>
      </c>
      <c r="Q9" s="39"/>
      <c r="R9" s="235">
        <f>ROUND((8005-1069)*2.9,0)</f>
        <v>20114</v>
      </c>
      <c r="S9" s="147" t="e">
        <f>ROUND(R9*G9/1000,2)</f>
        <v>#REF!</v>
      </c>
      <c r="T9" s="236" t="e">
        <f t="shared" ref="T9:T14" si="2">F9/1000-S9-P9</f>
        <v>#REF!</v>
      </c>
    </row>
    <row r="10" spans="2:20" s="5" customFormat="1" ht="26.25" customHeight="1" x14ac:dyDescent="0.3">
      <c r="B10" s="229">
        <v>4</v>
      </c>
      <c r="C10" s="223" t="s">
        <v>5</v>
      </c>
      <c r="D10" s="229"/>
      <c r="E10" s="230">
        <f>ROUND((5363-274)*2.9,0)+(5808-665)</f>
        <v>19901</v>
      </c>
      <c r="F10" s="233" t="e">
        <f>#REF!</f>
        <v>#REF!</v>
      </c>
      <c r="G10" s="111" t="e">
        <f t="shared" ref="G10:G11" si="3">F10/E10</f>
        <v>#REF!</v>
      </c>
      <c r="H10" s="239"/>
      <c r="I10" s="239"/>
      <c r="J10" s="54" t="e">
        <f t="shared" si="0"/>
        <v>#REF!</v>
      </c>
      <c r="K10" s="52"/>
      <c r="M10" s="54" t="e">
        <f>E10*$H$8</f>
        <v>#REF!</v>
      </c>
      <c r="N10" s="234" t="e">
        <f t="shared" si="1"/>
        <v>#REF!</v>
      </c>
      <c r="O10" s="235">
        <f>(5808-665)</f>
        <v>5143</v>
      </c>
      <c r="P10" s="147" t="e">
        <f>ROUND(O10*G10/1000,2)-0.01</f>
        <v>#REF!</v>
      </c>
      <c r="R10" s="235">
        <f>ROUND((5363-274)*2.9,0)</f>
        <v>14758</v>
      </c>
      <c r="S10" s="147" t="e">
        <f t="shared" ref="S10:S14" si="4">ROUND(R10*G10/1000,2)</f>
        <v>#REF!</v>
      </c>
      <c r="T10" s="236" t="e">
        <f t="shared" si="2"/>
        <v>#REF!</v>
      </c>
    </row>
    <row r="11" spans="2:20" s="5" customFormat="1" ht="26.25" customHeight="1" x14ac:dyDescent="0.3">
      <c r="B11" s="229">
        <v>5</v>
      </c>
      <c r="C11" s="9" t="s">
        <v>50</v>
      </c>
      <c r="D11" s="229"/>
      <c r="E11" s="230">
        <f>ROUND((10585-964)*2.9,0)+(9794-1702)</f>
        <v>35993</v>
      </c>
      <c r="F11" s="233" t="e">
        <f>#REF!</f>
        <v>#REF!</v>
      </c>
      <c r="G11" s="111" t="e">
        <f t="shared" si="3"/>
        <v>#REF!</v>
      </c>
      <c r="H11" s="237" t="e">
        <f>ROUND(K11/L11,2)</f>
        <v>#REF!</v>
      </c>
      <c r="I11" s="237" t="e">
        <f>ROUND(H11*2.9,2)</f>
        <v>#REF!</v>
      </c>
      <c r="J11" s="54" t="e">
        <f t="shared" si="0"/>
        <v>#REF!</v>
      </c>
      <c r="K11" s="136" t="e">
        <f>J11+J12</f>
        <v>#REF!</v>
      </c>
      <c r="L11" s="137">
        <f>E12+E11</f>
        <v>48764</v>
      </c>
      <c r="M11" s="54" t="e">
        <f>E11*$H$11</f>
        <v>#REF!</v>
      </c>
      <c r="N11" s="234" t="e">
        <f t="shared" si="1"/>
        <v>#REF!</v>
      </c>
      <c r="O11" s="235">
        <f>(9794-1702)</f>
        <v>8092</v>
      </c>
      <c r="P11" s="147" t="e">
        <f t="shared" ref="P11" si="5">ROUND(O11*G11/1000,2)</f>
        <v>#REF!</v>
      </c>
      <c r="R11" s="235">
        <f>ROUND((10585-964)*2.9,0)</f>
        <v>27901</v>
      </c>
      <c r="S11" s="147" t="e">
        <f t="shared" si="4"/>
        <v>#REF!</v>
      </c>
      <c r="T11" s="236" t="e">
        <f t="shared" si="2"/>
        <v>#REF!</v>
      </c>
    </row>
    <row r="12" spans="2:20" s="5" customFormat="1" ht="26.25" customHeight="1" x14ac:dyDescent="0.3">
      <c r="B12" s="229">
        <v>2</v>
      </c>
      <c r="C12" s="9" t="s">
        <v>4</v>
      </c>
      <c r="D12" s="229"/>
      <c r="E12" s="230">
        <f>ROUND((3696-113)*2.9,0)+(2744-364)</f>
        <v>12771</v>
      </c>
      <c r="F12" s="233" t="e">
        <f>#REF!</f>
        <v>#REF!</v>
      </c>
      <c r="G12" s="111" t="e">
        <f>F12/E12</f>
        <v>#REF!</v>
      </c>
      <c r="H12" s="239"/>
      <c r="I12" s="239"/>
      <c r="J12" s="54" t="e">
        <f>G12*E12</f>
        <v>#REF!</v>
      </c>
      <c r="K12" s="52"/>
      <c r="M12" s="54" t="e">
        <f>E12*$H$11</f>
        <v>#REF!</v>
      </c>
      <c r="N12" s="234" t="e">
        <f>M12-J12</f>
        <v>#REF!</v>
      </c>
      <c r="O12" s="235">
        <f>(2744-364)</f>
        <v>2380</v>
      </c>
      <c r="P12" s="147" t="e">
        <f>ROUND(O12*G12/1000,2)</f>
        <v>#REF!</v>
      </c>
      <c r="R12" s="235">
        <f>ROUND((3696-113)*2.9,0)</f>
        <v>10391</v>
      </c>
      <c r="S12" s="147" t="e">
        <f>ROUND(R12*G12/1000,2)</f>
        <v>#REF!</v>
      </c>
      <c r="T12" s="236" t="e">
        <f>F12/1000-S12-P12</f>
        <v>#REF!</v>
      </c>
    </row>
    <row r="13" spans="2:20" ht="28.5" customHeight="1" x14ac:dyDescent="0.3">
      <c r="B13" s="229">
        <v>3</v>
      </c>
      <c r="C13" s="9" t="s">
        <v>3</v>
      </c>
      <c r="D13" s="229"/>
      <c r="E13" s="230">
        <f>ROUND((18011-1529)*2.9,0)+(19004-1521)</f>
        <v>65281</v>
      </c>
      <c r="F13" s="233" t="e">
        <f>#REF!</f>
        <v>#REF!</v>
      </c>
      <c r="G13" s="111" t="e">
        <f>F13/E13</f>
        <v>#REF!</v>
      </c>
      <c r="H13" s="237" t="e">
        <f>ROUND(K14/L14,2)</f>
        <v>#REF!</v>
      </c>
      <c r="I13" s="237" t="e">
        <f>ROUND(H13*2.9,2)</f>
        <v>#REF!</v>
      </c>
      <c r="J13" s="54" t="e">
        <f t="shared" si="0"/>
        <v>#REF!</v>
      </c>
      <c r="K13" s="52"/>
      <c r="L13" s="5"/>
      <c r="M13" s="54" t="e">
        <f>E13*$H$13</f>
        <v>#REF!</v>
      </c>
      <c r="N13" s="234" t="e">
        <f t="shared" si="1"/>
        <v>#REF!</v>
      </c>
      <c r="O13" s="235">
        <f>(19004-1521)</f>
        <v>17483</v>
      </c>
      <c r="P13" s="147" t="e">
        <f>ROUND(O13*G13/1000,2)</f>
        <v>#REF!</v>
      </c>
      <c r="R13" s="235">
        <f>ROUND((18011-1529)*2.9,0)</f>
        <v>47798</v>
      </c>
      <c r="S13" s="147" t="e">
        <f t="shared" si="4"/>
        <v>#REF!</v>
      </c>
      <c r="T13" s="236" t="e">
        <f t="shared" si="2"/>
        <v>#REF!</v>
      </c>
    </row>
    <row r="14" spans="2:20" ht="27.75" customHeight="1" x14ac:dyDescent="0.3">
      <c r="B14" s="229">
        <v>7</v>
      </c>
      <c r="C14" s="223" t="s">
        <v>12</v>
      </c>
      <c r="D14" s="9">
        <v>6000</v>
      </c>
      <c r="E14" s="230">
        <f>ROUND((12208-647)*2.9,0)+(15910-1099)</f>
        <v>48338</v>
      </c>
      <c r="F14" s="233" t="e">
        <f>#REF!</f>
        <v>#REF!</v>
      </c>
      <c r="G14" s="111" t="e">
        <f t="shared" ref="G14" si="6">F14/E14</f>
        <v>#REF!</v>
      </c>
      <c r="H14" s="239"/>
      <c r="I14" s="239"/>
      <c r="J14" s="54" t="e">
        <f>G14*E14</f>
        <v>#REF!</v>
      </c>
      <c r="K14" s="136" t="e">
        <f>SUM(J13:J14)</f>
        <v>#REF!</v>
      </c>
      <c r="L14" s="137">
        <f>SUM(E13:E14)</f>
        <v>113619</v>
      </c>
      <c r="M14" s="54" t="e">
        <f>E14*$H$13</f>
        <v>#REF!</v>
      </c>
      <c r="N14" s="234" t="e">
        <f t="shared" si="1"/>
        <v>#REF!</v>
      </c>
      <c r="O14" s="235">
        <f>(15910-1099)</f>
        <v>14811</v>
      </c>
      <c r="P14" s="147" t="e">
        <f>ROUND(O14*G14/1000,2)-0.01</f>
        <v>#REF!</v>
      </c>
      <c r="Q14" s="39"/>
      <c r="R14" s="235">
        <f>ROUND((12208-647)*2.9,0)</f>
        <v>33527</v>
      </c>
      <c r="S14" s="147" t="e">
        <f t="shared" si="4"/>
        <v>#REF!</v>
      </c>
      <c r="T14" s="236" t="e">
        <f t="shared" si="2"/>
        <v>#REF!</v>
      </c>
    </row>
    <row r="15" spans="2:20" s="10" customFormat="1" ht="45.75" customHeight="1" x14ac:dyDescent="0.3">
      <c r="B15" s="11"/>
      <c r="C15" s="12" t="s">
        <v>136</v>
      </c>
      <c r="D15" s="13">
        <v>443213</v>
      </c>
      <c r="E15" s="133">
        <f>SUM(E8:E14)</f>
        <v>253853</v>
      </c>
      <c r="F15" s="19" t="e">
        <f>SUM(F8:F14)</f>
        <v>#REF!</v>
      </c>
      <c r="G15" s="13"/>
      <c r="H15" s="13"/>
      <c r="I15" s="13"/>
      <c r="J15" s="36"/>
      <c r="K15" s="36"/>
      <c r="M15" s="60"/>
      <c r="N15" s="60"/>
      <c r="O15" s="1"/>
      <c r="P15" s="216" t="e">
        <f>SUM(P8:P14)</f>
        <v>#REF!</v>
      </c>
      <c r="S15" s="216" t="e">
        <f>SUM(S8:S14)</f>
        <v>#REF!</v>
      </c>
    </row>
    <row r="16" spans="2:20" ht="42.75" customHeight="1" x14ac:dyDescent="0.3">
      <c r="B16" s="21"/>
      <c r="C16" s="21"/>
      <c r="D16" s="21"/>
      <c r="E16" s="55"/>
      <c r="F16" s="23" t="e">
        <f>'все виды помощи 2020'!#REF!*12</f>
        <v>#REF!</v>
      </c>
      <c r="G16" s="14"/>
      <c r="H16" s="14"/>
      <c r="I16" s="14"/>
      <c r="J16" s="14"/>
      <c r="K16" s="14"/>
    </row>
    <row r="17" spans="2:7" ht="18.75" customHeight="1" x14ac:dyDescent="0.3">
      <c r="B17" s="26"/>
      <c r="C17" s="26"/>
      <c r="D17" s="26"/>
      <c r="E17" s="62"/>
      <c r="F17" s="17" t="e">
        <f>F16-F15</f>
        <v>#REF!</v>
      </c>
      <c r="G17" s="42"/>
    </row>
    <row r="18" spans="2:7" ht="33" customHeight="1" x14ac:dyDescent="0.3">
      <c r="B18" s="26"/>
      <c r="C18" s="26"/>
      <c r="D18" s="26"/>
      <c r="E18" s="62"/>
    </row>
    <row r="19" spans="2:7" ht="24" customHeight="1" x14ac:dyDescent="0.3">
      <c r="B19" s="26"/>
      <c r="C19" s="26"/>
      <c r="D19" s="26"/>
      <c r="E19" s="29"/>
    </row>
    <row r="20" spans="2:7" x14ac:dyDescent="0.3">
      <c r="B20" s="30"/>
      <c r="C20" s="30"/>
      <c r="D20" s="30"/>
      <c r="E20" s="31"/>
    </row>
    <row r="21" spans="2:7" ht="50.25" customHeight="1" x14ac:dyDescent="0.3">
      <c r="B21" s="30"/>
      <c r="C21" s="21"/>
      <c r="D21" s="21"/>
      <c r="E21" s="34"/>
    </row>
    <row r="22" spans="2:7" ht="50.25" customHeight="1" x14ac:dyDescent="0.3">
      <c r="B22" s="30"/>
      <c r="C22" s="21"/>
      <c r="D22" s="21"/>
      <c r="E22" s="34"/>
    </row>
    <row r="23" spans="2:7" ht="50.25" customHeight="1" x14ac:dyDescent="0.3">
      <c r="B23" s="30"/>
      <c r="C23" s="21"/>
      <c r="D23" s="21"/>
      <c r="E23" s="34"/>
    </row>
    <row r="24" spans="2:7" ht="50.25" customHeight="1" x14ac:dyDescent="0.3">
      <c r="B24" s="30"/>
      <c r="C24" s="21"/>
      <c r="D24" s="21"/>
      <c r="E24" s="34"/>
    </row>
    <row r="25" spans="2:7" ht="50.25" customHeight="1" x14ac:dyDescent="0.3">
      <c r="B25" s="30"/>
      <c r="C25" s="21"/>
      <c r="D25" s="21"/>
      <c r="E25" s="34"/>
    </row>
    <row r="26" spans="2:7" ht="50.25" customHeight="1" x14ac:dyDescent="0.3">
      <c r="B26" s="30"/>
      <c r="C26" s="21"/>
      <c r="D26" s="21"/>
      <c r="E26" s="34"/>
    </row>
    <row r="27" spans="2:7" ht="50.25" customHeight="1" x14ac:dyDescent="0.3">
      <c r="B27" s="30"/>
      <c r="C27" s="21"/>
      <c r="D27" s="21"/>
      <c r="E27" s="34"/>
    </row>
    <row r="28" spans="2:7" ht="50.25" customHeight="1" x14ac:dyDescent="0.3">
      <c r="B28" s="30"/>
      <c r="C28" s="21"/>
      <c r="D28" s="21"/>
      <c r="E28" s="34"/>
    </row>
    <row r="29" spans="2:7" ht="50.25" customHeight="1" x14ac:dyDescent="0.3">
      <c r="B29" s="143"/>
      <c r="C29" s="35"/>
      <c r="D29" s="36"/>
      <c r="E29" s="37"/>
    </row>
    <row r="30" spans="2:7" x14ac:dyDescent="0.3">
      <c r="B30" s="21"/>
      <c r="C30" s="21"/>
      <c r="D30" s="21"/>
      <c r="E30" s="21"/>
    </row>
    <row r="31" spans="2:7" x14ac:dyDescent="0.3">
      <c r="B31" s="21"/>
      <c r="C31" s="21"/>
      <c r="D31" s="21"/>
      <c r="E31" s="21"/>
    </row>
    <row r="32" spans="2:7" x14ac:dyDescent="0.3">
      <c r="B32" s="21"/>
      <c r="C32" s="21"/>
      <c r="D32" s="21"/>
      <c r="E32" s="21"/>
    </row>
    <row r="33" spans="2:5" x14ac:dyDescent="0.3">
      <c r="B33" s="21"/>
      <c r="C33" s="21"/>
      <c r="D33" s="21"/>
      <c r="E33" s="21"/>
    </row>
    <row r="34" spans="2:5" x14ac:dyDescent="0.3">
      <c r="B34" s="21"/>
      <c r="C34" s="21"/>
      <c r="D34" s="21"/>
      <c r="E34" s="21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</sheetData>
  <autoFilter ref="A7:H14">
    <sortState ref="A10:O30">
      <sortCondition ref="G9:G29"/>
    </sortState>
  </autoFilter>
  <mergeCells count="9">
    <mergeCell ref="R6:S6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2"/>
  <sheetViews>
    <sheetView workbookViewId="0">
      <selection activeCell="K34" sqref="K34"/>
    </sheetView>
  </sheetViews>
  <sheetFormatPr defaultRowHeight="12.75" x14ac:dyDescent="0.2"/>
  <cols>
    <col min="3" max="3" width="17.140625" customWidth="1"/>
    <col min="7" max="7" width="16.5703125" customWidth="1"/>
    <col min="8" max="8" width="13.140625" customWidth="1"/>
    <col min="9" max="9" width="11.85546875" customWidth="1"/>
    <col min="10" max="10" width="14" customWidth="1"/>
  </cols>
  <sheetData>
    <row r="4" spans="2:11" ht="17.25" x14ac:dyDescent="0.2">
      <c r="B4" s="164" t="s">
        <v>60</v>
      </c>
    </row>
    <row r="6" spans="2:11" ht="25.5" x14ac:dyDescent="0.2">
      <c r="B6" s="166" t="s">
        <v>61</v>
      </c>
      <c r="C6" s="361" t="s">
        <v>63</v>
      </c>
      <c r="D6" s="361" t="s">
        <v>64</v>
      </c>
      <c r="E6" s="361" t="s">
        <v>65</v>
      </c>
      <c r="F6" s="166" t="s">
        <v>66</v>
      </c>
      <c r="G6" s="166" t="s">
        <v>68</v>
      </c>
      <c r="H6" s="166" t="s">
        <v>70</v>
      </c>
      <c r="I6" s="166" t="s">
        <v>72</v>
      </c>
      <c r="J6" s="166" t="s">
        <v>74</v>
      </c>
    </row>
    <row r="7" spans="2:11" ht="14.25" x14ac:dyDescent="0.2">
      <c r="B7" s="166" t="s">
        <v>62</v>
      </c>
      <c r="C7" s="361"/>
      <c r="D7" s="361"/>
      <c r="E7" s="361"/>
      <c r="F7" s="167" t="s">
        <v>67</v>
      </c>
      <c r="G7" s="166" t="s">
        <v>69</v>
      </c>
      <c r="H7" s="166" t="s">
        <v>71</v>
      </c>
      <c r="I7" s="166" t="s">
        <v>73</v>
      </c>
      <c r="J7" s="166" t="s">
        <v>75</v>
      </c>
    </row>
    <row r="8" spans="2:11" x14ac:dyDescent="0.2">
      <c r="B8" s="166"/>
      <c r="C8" s="361"/>
      <c r="D8" s="361"/>
      <c r="E8" s="361"/>
      <c r="F8" s="166"/>
      <c r="G8" s="165"/>
      <c r="H8" s="166"/>
      <c r="I8" s="166"/>
      <c r="J8" s="166"/>
    </row>
    <row r="9" spans="2:11" x14ac:dyDescent="0.2">
      <c r="B9" s="166"/>
      <c r="C9" s="361"/>
      <c r="D9" s="361"/>
      <c r="E9" s="361"/>
      <c r="F9" s="166"/>
      <c r="G9" s="168">
        <v>43101</v>
      </c>
      <c r="H9" s="166"/>
      <c r="I9" s="166"/>
      <c r="J9" s="166"/>
    </row>
    <row r="10" spans="2:11" x14ac:dyDescent="0.2">
      <c r="B10" s="166"/>
      <c r="C10" s="361"/>
      <c r="D10" s="361"/>
      <c r="E10" s="361"/>
      <c r="F10" s="166"/>
      <c r="G10" s="166"/>
      <c r="H10" s="166"/>
      <c r="I10" s="166"/>
      <c r="J10" s="166"/>
    </row>
    <row r="11" spans="2:11" ht="12.75" customHeight="1" x14ac:dyDescent="0.2">
      <c r="B11" s="362" t="s">
        <v>76</v>
      </c>
      <c r="C11" s="362"/>
      <c r="D11" s="362"/>
      <c r="E11" s="362"/>
      <c r="F11" s="362"/>
      <c r="G11" s="362"/>
      <c r="H11" s="362"/>
      <c r="I11" s="362"/>
      <c r="J11" s="362"/>
    </row>
    <row r="12" spans="2:11" x14ac:dyDescent="0.2">
      <c r="B12" s="169">
        <v>1</v>
      </c>
      <c r="C12" s="171" t="s">
        <v>77</v>
      </c>
      <c r="D12" s="170"/>
      <c r="E12" s="170"/>
      <c r="F12" s="171" t="s">
        <v>78</v>
      </c>
      <c r="G12" s="172" t="s">
        <v>79</v>
      </c>
      <c r="H12" s="173">
        <v>1240</v>
      </c>
      <c r="I12" s="173">
        <v>80.41</v>
      </c>
      <c r="J12" s="167" t="s">
        <v>77</v>
      </c>
      <c r="K12">
        <v>99683</v>
      </c>
    </row>
    <row r="13" spans="2:11" ht="12.75" customHeight="1" x14ac:dyDescent="0.2">
      <c r="B13" s="362" t="s">
        <v>80</v>
      </c>
      <c r="C13" s="362"/>
      <c r="D13" s="362"/>
      <c r="E13" s="362"/>
      <c r="F13" s="362"/>
      <c r="G13" s="362"/>
      <c r="H13" s="362"/>
      <c r="I13" s="362"/>
      <c r="J13" s="362"/>
    </row>
    <row r="14" spans="2:11" x14ac:dyDescent="0.2">
      <c r="B14" s="169">
        <v>2</v>
      </c>
      <c r="C14" s="171" t="s">
        <v>81</v>
      </c>
      <c r="D14" s="170"/>
      <c r="E14" s="170"/>
      <c r="F14" s="171" t="s">
        <v>82</v>
      </c>
      <c r="G14" s="172" t="s">
        <v>83</v>
      </c>
      <c r="H14" s="173">
        <v>75800</v>
      </c>
      <c r="I14" s="173">
        <v>0.13</v>
      </c>
      <c r="J14" s="167" t="s">
        <v>84</v>
      </c>
    </row>
    <row r="15" spans="2:11" x14ac:dyDescent="0.2">
      <c r="B15" s="169">
        <v>3</v>
      </c>
      <c r="C15" s="171" t="s">
        <v>85</v>
      </c>
      <c r="D15" s="170"/>
      <c r="E15" s="170"/>
      <c r="F15" s="171" t="s">
        <v>86</v>
      </c>
      <c r="G15" s="172" t="s">
        <v>87</v>
      </c>
      <c r="H15" s="173">
        <v>60400</v>
      </c>
      <c r="I15" s="173">
        <v>0.08</v>
      </c>
      <c r="J15" s="167" t="s">
        <v>88</v>
      </c>
      <c r="K15">
        <v>5053</v>
      </c>
    </row>
    <row r="16" spans="2:11" x14ac:dyDescent="0.2">
      <c r="B16" s="169">
        <v>4</v>
      </c>
      <c r="C16" s="171" t="s">
        <v>89</v>
      </c>
      <c r="D16" s="170"/>
      <c r="E16" s="170"/>
      <c r="F16" s="171" t="s">
        <v>90</v>
      </c>
      <c r="G16" s="172" t="s">
        <v>91</v>
      </c>
      <c r="H16" s="173">
        <v>102000</v>
      </c>
      <c r="I16" s="173">
        <v>0.02</v>
      </c>
      <c r="J16" s="167" t="s">
        <v>92</v>
      </c>
      <c r="K16">
        <v>1968</v>
      </c>
    </row>
    <row r="17" spans="2:11" x14ac:dyDescent="0.2">
      <c r="B17" s="169">
        <v>5</v>
      </c>
      <c r="C17" s="171" t="s">
        <v>93</v>
      </c>
      <c r="D17" s="170"/>
      <c r="E17" s="170"/>
      <c r="F17" s="171" t="s">
        <v>94</v>
      </c>
      <c r="G17" s="172" t="s">
        <v>95</v>
      </c>
      <c r="H17" s="173">
        <v>91800</v>
      </c>
      <c r="I17" s="173">
        <v>0.02</v>
      </c>
      <c r="J17" s="167" t="s">
        <v>96</v>
      </c>
      <c r="K17">
        <v>2293</v>
      </c>
    </row>
    <row r="18" spans="2:11" x14ac:dyDescent="0.2">
      <c r="B18" s="169">
        <v>6</v>
      </c>
      <c r="C18" s="171" t="s">
        <v>97</v>
      </c>
      <c r="D18" s="170"/>
      <c r="E18" s="170"/>
      <c r="F18" s="171" t="s">
        <v>98</v>
      </c>
      <c r="G18" s="172" t="s">
        <v>99</v>
      </c>
      <c r="H18" s="173">
        <v>46800</v>
      </c>
      <c r="I18" s="173">
        <v>0.16</v>
      </c>
      <c r="J18" s="167" t="s">
        <v>100</v>
      </c>
      <c r="K18">
        <v>7404</v>
      </c>
    </row>
    <row r="19" spans="2:11" x14ac:dyDescent="0.2">
      <c r="B19" s="169">
        <v>7</v>
      </c>
      <c r="C19" s="171" t="s">
        <v>101</v>
      </c>
      <c r="D19" s="170"/>
      <c r="E19" s="170"/>
      <c r="F19" s="171" t="s">
        <v>102</v>
      </c>
      <c r="G19" s="172" t="s">
        <v>103</v>
      </c>
      <c r="H19" s="173">
        <v>35600</v>
      </c>
      <c r="I19" s="173">
        <v>0.11</v>
      </c>
      <c r="J19" s="167" t="s">
        <v>104</v>
      </c>
      <c r="K19">
        <v>3935</v>
      </c>
    </row>
    <row r="20" spans="2:11" x14ac:dyDescent="0.2">
      <c r="B20" s="169">
        <v>8</v>
      </c>
      <c r="C20" s="171" t="s">
        <v>105</v>
      </c>
      <c r="D20" s="170"/>
      <c r="E20" s="170"/>
      <c r="F20" s="171" t="s">
        <v>106</v>
      </c>
      <c r="G20" s="172" t="s">
        <v>107</v>
      </c>
      <c r="H20" s="173">
        <v>19300</v>
      </c>
      <c r="I20" s="173">
        <v>0.34</v>
      </c>
      <c r="J20" s="167" t="s">
        <v>108</v>
      </c>
      <c r="K20">
        <v>6462</v>
      </c>
    </row>
    <row r="21" spans="2:11" x14ac:dyDescent="0.2">
      <c r="B21" s="169">
        <v>9</v>
      </c>
      <c r="C21" s="171" t="s">
        <v>109</v>
      </c>
      <c r="D21" s="170"/>
      <c r="E21" s="170"/>
      <c r="F21" s="171" t="s">
        <v>110</v>
      </c>
      <c r="G21" s="172" t="s">
        <v>111</v>
      </c>
      <c r="H21" s="173">
        <v>29600</v>
      </c>
      <c r="I21" s="173">
        <v>0.25</v>
      </c>
      <c r="J21" s="167" t="s">
        <v>112</v>
      </c>
      <c r="K21">
        <v>7320</v>
      </c>
    </row>
    <row r="22" spans="2:11" x14ac:dyDescent="0.2">
      <c r="H22">
        <f>SUM(H12:H21)</f>
        <v>462540</v>
      </c>
      <c r="K22">
        <f>SUM(K12:K21)</f>
        <v>134118</v>
      </c>
    </row>
  </sheetData>
  <mergeCells count="5">
    <mergeCell ref="C6:C10"/>
    <mergeCell ref="D6:D10"/>
    <mergeCell ref="E6:E10"/>
    <mergeCell ref="B11:J11"/>
    <mergeCell ref="B13:J13"/>
  </mergeCells>
  <hyperlinks>
    <hyperlink ref="F7" r:id="rId1" tooltip="ОКАТО" display="https://ru.wikipedia.org/wiki/%D0%9E%D0%9A%D0%90%D0%A2%D0%9E"/>
    <hyperlink ref="C12" r:id="rId2" tooltip="Городской округ город Магадан" display="https://ru.wikipedia.org/wiki/%D0%93%D0%BE%D1%80%D0%BE%D0%B4%D1%81%D0%BA%D0%BE%D0%B9_%D0%BE%D0%BA%D1%80%D1%83%D0%B3_%D0%B3%D0%BE%D1%80%D0%BE%D0%B4_%D0%9C%D0%B0%D0%B3%D0%B0%D0%B4%D0%B0%D0%BD"/>
    <hyperlink ref="F12" r:id="rId3" display="http://classif.spb.ru/classificators/view/okt.php?st=A&amp;kr=1&amp;kod=44401"/>
    <hyperlink ref="G12" r:id="rId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2" r:id="rId5" tooltip="Магадан" display="https://ru.wikipedia.org/wiki/%D0%9C%D0%B0%D0%B3%D0%B0%D0%B4%D0%B0%D0%BD"/>
    <hyperlink ref="C14" r:id="rId6" tooltip="Ольский район" display="https://ru.wikipedia.org/wiki/%D0%9E%D0%BB%D1%8C%D1%81%D0%BA%D0%B8%D0%B9_%D1%80%D0%B0%D0%B9%D0%BE%D0%BD"/>
    <hyperlink ref="F14" r:id="rId7" display="http://classif.spb.ru/classificators/view/okt.php?st=A&amp;kr=1&amp;kod=44201"/>
    <hyperlink ref="G14" r:id="rId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4" r:id="rId9" tooltip="Ола" display="https://ru.wikipedia.org/wiki/%D0%9E%D0%BB%D0%B0"/>
    <hyperlink ref="C15" r:id="rId10" tooltip="Омсукчанский район" display="https://ru.wikipedia.org/wiki/%D0%9E%D0%BC%D1%81%D1%83%D0%BA%D1%87%D0%B0%D0%BD%D1%81%D0%BA%D0%B8%D0%B9_%D1%80%D0%B0%D0%B9%D0%BE%D0%BD"/>
    <hyperlink ref="F15" r:id="rId11" display="http://classif.spb.ru/classificators/view/okt.php?st=A&amp;kr=1&amp;kod=44204"/>
    <hyperlink ref="G15" r:id="rId1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5" r:id="rId13" tooltip="Омсукчан" display="https://ru.wikipedia.org/wiki/%D0%9E%D0%BC%D1%81%D1%83%D0%BA%D1%87%D0%B0%D0%BD"/>
    <hyperlink ref="C16" r:id="rId14" tooltip="Северо-Эвенский район" display="https://ru.wikipedia.org/wiki/%D0%A1%D0%B5%D0%B2%D0%B5%D1%80%D0%BE-%D0%AD%D0%B2%D0%B5%D0%BD%D1%81%D0%BA%D0%B8%D0%B9_%D1%80%D0%B0%D0%B9%D0%BE%D0%BD"/>
    <hyperlink ref="F16" r:id="rId15" display="http://classif.spb.ru/classificators/view/okt.php?st=A&amp;kr=1&amp;kod=44207"/>
    <hyperlink ref="G16" r:id="rId1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6" r:id="rId17" tooltip="Эвенск" display="https://ru.wikipedia.org/wiki/%D0%AD%D0%B2%D0%B5%D0%BD%D1%81%D0%BA"/>
    <hyperlink ref="C17" r:id="rId18" tooltip="Среднеканский район" display="https://ru.wikipedia.org/wiki/%D0%A1%D1%80%D0%B5%D0%B4%D0%BD%D0%B5%D0%BA%D0%B0%D0%BD%D1%81%D0%BA%D0%B8%D0%B9_%D1%80%D0%B0%D0%B9%D0%BE%D0%BD"/>
    <hyperlink ref="F17" r:id="rId19" display="http://classif.spb.ru/classificators/view/okt.php?st=A&amp;kr=1&amp;kod=44210"/>
    <hyperlink ref="G17" r:id="rId20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7" r:id="rId21" tooltip="Сеймчан (посёлок)" display="https://ru.wikipedia.org/wiki/%D0%A1%D0%B5%D0%B9%D0%BC%D1%87%D0%B0%D0%BD_(%D0%BF%D0%BE%D1%81%D1%91%D0%BB%D0%BE%D0%BA)"/>
    <hyperlink ref="C18" r:id="rId22" tooltip="Сусуманский район" display="https://ru.wikipedia.org/wiki/%D0%A1%D1%83%D1%81%D1%83%D0%BC%D0%B0%D0%BD%D1%81%D0%BA%D0%B8%D0%B9_%D1%80%D0%B0%D0%B9%D0%BE%D0%BD"/>
    <hyperlink ref="F18" r:id="rId23" display="http://classif.spb.ru/classificators/view/okt.php?st=A&amp;kr=1&amp;kod=44213"/>
    <hyperlink ref="G18" r:id="rId2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8" r:id="rId25" tooltip="Сусуман" display="https://ru.wikipedia.org/wiki/%D0%A1%D1%83%D1%81%D1%83%D0%BC%D0%B0%D0%BD"/>
    <hyperlink ref="C19" r:id="rId26" tooltip="Тенькинский район" display="https://ru.wikipedia.org/wiki/%D0%A2%D0%B5%D0%BD%D1%8C%D0%BA%D0%B8%D0%BD%D1%81%D0%BA%D0%B8%D0%B9_%D1%80%D0%B0%D0%B9%D0%BE%D0%BD"/>
    <hyperlink ref="F19" r:id="rId27" display="http://classif.spb.ru/classificators/view/okt.php?st=A&amp;kr=1&amp;kod=44216"/>
    <hyperlink ref="G19" r:id="rId2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9" r:id="rId29" tooltip="Усть-Омчуг" display="https://ru.wikipedia.org/wiki/%D0%A3%D1%81%D1%82%D1%8C-%D0%9E%D0%BC%D1%87%D1%83%D0%B3"/>
    <hyperlink ref="C20" r:id="rId30" tooltip="Хасынский район" display="https://ru.wikipedia.org/wiki/%D0%A5%D0%B0%D1%81%D1%8B%D0%BD%D1%81%D0%BA%D0%B8%D0%B9_%D1%80%D0%B0%D0%B9%D0%BE%D0%BD"/>
    <hyperlink ref="F20" r:id="rId31" display="http://classif.spb.ru/classificators/view/okt.php?st=A&amp;kr=1&amp;kod=44219"/>
    <hyperlink ref="G20" r:id="rId3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0" r:id="rId33" tooltip="Палатка (Магаданская область)" display="https://ru.wikipedia.org/wiki/%D0%9F%D0%B0%D0%BB%D0%B0%D1%82%D0%BA%D0%B0_(%D0%9C%D0%B0%D0%B3%D0%B0%D0%B4%D0%B0%D0%BD%D1%81%D0%BA%D0%B0%D1%8F_%D0%BE%D0%B1%D0%BB%D0%B0%D1%81%D1%82%D1%8C)"/>
    <hyperlink ref="C21" r:id="rId34" tooltip="Ягоднинский район" display="https://ru.wikipedia.org/wiki/%D0%AF%D0%B3%D0%BE%D0%B4%D0%BD%D0%B8%D0%BD%D1%81%D0%BA%D0%B8%D0%B9_%D1%80%D0%B0%D0%B9%D0%BE%D0%BD"/>
    <hyperlink ref="F21" r:id="rId35" display="http://classif.spb.ru/classificators/view/okt.php?st=A&amp;kr=1&amp;kod=44222"/>
    <hyperlink ref="G21" r:id="rId3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1" r:id="rId37" tooltip="Ягодное (Магаданская область)" display="https://ru.wikipedia.org/wiki/%D0%AF%D0%B3%D0%BE%D0%B4%D0%BD%D0%BE%D0%B5_(%D0%9C%D0%B0%D0%B3%D0%B0%D0%B4%D0%B0%D0%BD%D1%81%D0%BA%D0%B0%D1%8F_%D0%BE%D0%B1%D0%BB%D0%B0%D1%81%D1%82%D1%8C)"/>
  </hyperlinks>
  <pageMargins left="0.7" right="0.7" top="0.75" bottom="0.75" header="0.3" footer="0.3"/>
  <drawing r:id="rId3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2" t="s">
        <v>45</v>
      </c>
      <c r="D1" s="352"/>
      <c r="E1" s="352"/>
      <c r="F1" s="352"/>
      <c r="G1" s="352"/>
      <c r="H1" s="352"/>
      <c r="I1" s="352"/>
      <c r="J1" s="115"/>
      <c r="K1" s="115"/>
    </row>
    <row r="2" spans="2:22" ht="22.5" customHeight="1" x14ac:dyDescent="0.3">
      <c r="C2" s="352"/>
      <c r="D2" s="352"/>
      <c r="E2" s="352"/>
      <c r="F2" s="352"/>
      <c r="G2" s="352"/>
      <c r="H2" s="352"/>
      <c r="I2" s="352"/>
      <c r="J2" s="116"/>
      <c r="K2" s="116"/>
    </row>
    <row r="3" spans="2:22" ht="37.5" customHeight="1" x14ac:dyDescent="0.3">
      <c r="C3" s="286"/>
      <c r="D3" s="286"/>
      <c r="E3" s="286"/>
      <c r="F3" s="286"/>
      <c r="G3" s="286"/>
      <c r="H3" s="286"/>
      <c r="I3" s="286"/>
      <c r="J3" s="122"/>
      <c r="K3" s="122"/>
    </row>
    <row r="4" spans="2:22" s="3" customFormat="1" ht="43.9" customHeight="1" x14ac:dyDescent="0.3">
      <c r="B4" s="353" t="s">
        <v>7</v>
      </c>
      <c r="C4" s="353" t="s">
        <v>8</v>
      </c>
      <c r="D4" s="353" t="s">
        <v>9</v>
      </c>
      <c r="E4" s="353" t="s">
        <v>27</v>
      </c>
      <c r="F4" s="353" t="s">
        <v>19</v>
      </c>
      <c r="G4" s="353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54"/>
      <c r="C5" s="354"/>
      <c r="D5" s="354"/>
      <c r="E5" s="354"/>
      <c r="F5" s="354"/>
      <c r="G5" s="354"/>
      <c r="H5" s="314"/>
      <c r="I5" s="314"/>
      <c r="J5" s="52"/>
      <c r="K5" s="52"/>
    </row>
    <row r="6" spans="2:22" s="4" customFormat="1" ht="49.5" customHeight="1" x14ac:dyDescent="0.3">
      <c r="B6" s="355"/>
      <c r="C6" s="355"/>
      <c r="D6" s="355"/>
      <c r="E6" s="355"/>
      <c r="F6" s="355"/>
      <c r="G6" s="355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63" t="e">
        <f>K15/L15</f>
        <v>#REF!</v>
      </c>
      <c r="I8" s="356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64"/>
      <c r="I9" s="357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64"/>
      <c r="I10" s="357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64"/>
      <c r="I11" s="357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64"/>
      <c r="I12" s="357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64"/>
      <c r="I13" s="357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64"/>
      <c r="I14" s="357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65"/>
      <c r="I15" s="358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6" t="e">
        <f>K19/L19</f>
        <v>#REF!</v>
      </c>
      <c r="I16" s="356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7"/>
      <c r="I17" s="357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7"/>
      <c r="I18" s="357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58"/>
      <c r="I19" s="358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2" t="s">
        <v>45</v>
      </c>
      <c r="D1" s="352"/>
      <c r="E1" s="352"/>
      <c r="F1" s="352"/>
      <c r="G1" s="352"/>
      <c r="H1" s="352"/>
      <c r="I1" s="352"/>
      <c r="J1" s="115"/>
      <c r="K1" s="115"/>
    </row>
    <row r="2" spans="2:15" ht="22.5" customHeight="1" x14ac:dyDescent="0.3">
      <c r="C2" s="352"/>
      <c r="D2" s="352"/>
      <c r="E2" s="352"/>
      <c r="F2" s="352"/>
      <c r="G2" s="352"/>
      <c r="H2" s="352"/>
      <c r="I2" s="352"/>
      <c r="J2" s="116"/>
      <c r="K2" s="116"/>
    </row>
    <row r="3" spans="2:15" ht="37.5" customHeight="1" x14ac:dyDescent="0.3">
      <c r="C3" s="286"/>
      <c r="D3" s="286"/>
      <c r="E3" s="286"/>
      <c r="F3" s="286"/>
      <c r="G3" s="286"/>
      <c r="H3" s="286"/>
      <c r="I3" s="286"/>
      <c r="J3" s="122"/>
      <c r="K3" s="122"/>
    </row>
    <row r="4" spans="2:15" s="3" customFormat="1" ht="43.9" customHeight="1" x14ac:dyDescent="0.3">
      <c r="B4" s="353" t="s">
        <v>7</v>
      </c>
      <c r="C4" s="353" t="s">
        <v>8</v>
      </c>
      <c r="D4" s="353" t="s">
        <v>9</v>
      </c>
      <c r="E4" s="353" t="s">
        <v>27</v>
      </c>
      <c r="F4" s="353" t="s">
        <v>19</v>
      </c>
      <c r="G4" s="353" t="s">
        <v>21</v>
      </c>
      <c r="H4" s="314" t="s">
        <v>20</v>
      </c>
      <c r="I4" s="314"/>
      <c r="J4" s="52"/>
      <c r="K4" s="52"/>
    </row>
    <row r="5" spans="2:15" s="4" customFormat="1" ht="62.25" customHeight="1" x14ac:dyDescent="0.3">
      <c r="B5" s="354"/>
      <c r="C5" s="354"/>
      <c r="D5" s="354"/>
      <c r="E5" s="354"/>
      <c r="F5" s="354"/>
      <c r="G5" s="354"/>
      <c r="H5" s="314"/>
      <c r="I5" s="314"/>
      <c r="J5" s="52"/>
      <c r="K5" s="52"/>
    </row>
    <row r="6" spans="2:15" s="4" customFormat="1" ht="49.5" customHeight="1" x14ac:dyDescent="0.3">
      <c r="B6" s="355"/>
      <c r="C6" s="355"/>
      <c r="D6" s="355"/>
      <c r="E6" s="355"/>
      <c r="F6" s="355"/>
      <c r="G6" s="355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66" t="e">
        <f>K12/L12</f>
        <v>#REF!</v>
      </c>
      <c r="I8" s="359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66"/>
      <c r="I9" s="359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66"/>
      <c r="I10" s="359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66"/>
      <c r="I11" s="359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66"/>
      <c r="I12" s="359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66" t="e">
        <f>K15/L15</f>
        <v>#REF!</v>
      </c>
      <c r="I13" s="359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66"/>
      <c r="I14" s="359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66"/>
      <c r="I15" s="359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66" t="e">
        <f>K19/L19</f>
        <v>#REF!</v>
      </c>
      <c r="I16" s="359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66"/>
      <c r="I17" s="359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66"/>
      <c r="I18" s="359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66"/>
      <c r="I19" s="359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4"/>
      <c r="P1" s="284"/>
      <c r="Q1" s="284"/>
      <c r="R1" s="284"/>
      <c r="S1" s="205"/>
      <c r="T1" s="205"/>
    </row>
    <row r="2" spans="1:44" ht="22.5" customHeight="1" x14ac:dyDescent="0.3">
      <c r="O2" s="285"/>
      <c r="P2" s="285"/>
      <c r="Q2" s="285"/>
      <c r="R2" s="285"/>
      <c r="S2" s="206"/>
      <c r="T2" s="206"/>
    </row>
    <row r="3" spans="1:44" ht="48" customHeight="1" x14ac:dyDescent="0.3">
      <c r="C3" s="286" t="s">
        <v>114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"/>
      <c r="R3" s="2" t="s">
        <v>16</v>
      </c>
      <c r="S3" s="2"/>
      <c r="T3" s="2"/>
    </row>
    <row r="4" spans="1:44" s="3" customFormat="1" ht="43.9" customHeight="1" x14ac:dyDescent="0.3">
      <c r="B4" s="287" t="s">
        <v>7</v>
      </c>
      <c r="C4" s="287" t="s">
        <v>8</v>
      </c>
      <c r="D4" s="288" t="s">
        <v>52</v>
      </c>
      <c r="E4" s="288" t="s">
        <v>58</v>
      </c>
      <c r="F4" s="291" t="s">
        <v>10</v>
      </c>
      <c r="G4" s="292"/>
      <c r="H4" s="292"/>
      <c r="I4" s="292"/>
      <c r="J4" s="292"/>
      <c r="K4" s="292"/>
      <c r="L4" s="292"/>
      <c r="M4" s="293" t="s">
        <v>38</v>
      </c>
      <c r="N4" s="293" t="s">
        <v>42</v>
      </c>
      <c r="O4" s="293" t="s">
        <v>28</v>
      </c>
      <c r="P4" s="297" t="s">
        <v>53</v>
      </c>
      <c r="Q4" s="297" t="s">
        <v>29</v>
      </c>
      <c r="R4" s="297" t="s">
        <v>17</v>
      </c>
      <c r="S4" s="63"/>
      <c r="T4" s="63"/>
      <c r="AE4" s="146"/>
      <c r="AF4" s="146"/>
      <c r="AH4" s="146"/>
      <c r="AL4" s="212"/>
      <c r="AM4" s="212"/>
      <c r="AN4" s="212"/>
      <c r="AO4" s="212"/>
    </row>
    <row r="5" spans="1:44" s="4" customFormat="1" ht="69" customHeight="1" x14ac:dyDescent="0.3">
      <c r="B5" s="287"/>
      <c r="C5" s="287"/>
      <c r="D5" s="289"/>
      <c r="E5" s="289"/>
      <c r="F5" s="293" t="s">
        <v>11</v>
      </c>
      <c r="G5" s="293" t="s">
        <v>48</v>
      </c>
      <c r="H5" s="291" t="s">
        <v>116</v>
      </c>
      <c r="I5" s="292"/>
      <c r="J5" s="296"/>
      <c r="K5" s="297" t="s">
        <v>36</v>
      </c>
      <c r="L5" s="297" t="s">
        <v>37</v>
      </c>
      <c r="M5" s="294"/>
      <c r="N5" s="294"/>
      <c r="O5" s="294"/>
      <c r="P5" s="312"/>
      <c r="Q5" s="312"/>
      <c r="R5" s="312"/>
      <c r="S5" s="63"/>
      <c r="T5" s="303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287"/>
      <c r="C6" s="287"/>
      <c r="D6" s="290"/>
      <c r="E6" s="290"/>
      <c r="F6" s="295"/>
      <c r="G6" s="295"/>
      <c r="H6" s="203" t="s">
        <v>122</v>
      </c>
      <c r="I6" s="203" t="s">
        <v>117</v>
      </c>
      <c r="J6" s="203" t="s">
        <v>118</v>
      </c>
      <c r="K6" s="298"/>
      <c r="L6" s="298"/>
      <c r="M6" s="295"/>
      <c r="N6" s="295"/>
      <c r="O6" s="295"/>
      <c r="P6" s="298"/>
      <c r="Q6" s="298"/>
      <c r="R6" s="298"/>
      <c r="S6" s="63"/>
      <c r="T6" s="303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287"/>
      <c r="C7" s="287"/>
      <c r="D7" s="211" t="s">
        <v>31</v>
      </c>
      <c r="E7" s="208" t="s">
        <v>32</v>
      </c>
      <c r="F7" s="204" t="s">
        <v>15</v>
      </c>
      <c r="G7" s="204" t="s">
        <v>33</v>
      </c>
      <c r="H7" s="204" t="s">
        <v>119</v>
      </c>
      <c r="I7" s="204" t="s">
        <v>120</v>
      </c>
      <c r="J7" s="204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3"/>
      <c r="U7" s="304" t="s">
        <v>18</v>
      </c>
      <c r="V7" s="305"/>
      <c r="AE7" s="145"/>
      <c r="AF7" s="145"/>
      <c r="AH7" s="145" t="s">
        <v>59</v>
      </c>
      <c r="AL7" s="306" t="s">
        <v>113</v>
      </c>
      <c r="AM7" s="306"/>
      <c r="AN7" s="209"/>
      <c r="AO7" s="209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207">
        <v>1</v>
      </c>
      <c r="C8" s="207">
        <v>2</v>
      </c>
      <c r="D8" s="208">
        <v>3</v>
      </c>
      <c r="E8" s="208">
        <v>4</v>
      </c>
      <c r="F8" s="203">
        <v>5</v>
      </c>
      <c r="G8" s="20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10"/>
      <c r="T8" s="210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7" t="e">
        <f>V14/X14</f>
        <v>#REF!</v>
      </c>
      <c r="M9" s="307" t="e">
        <f>D9*L9</f>
        <v>#REF!</v>
      </c>
      <c r="N9" s="309" t="e">
        <f>R22/R23</f>
        <v>#REF!</v>
      </c>
      <c r="O9" s="30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10475186.09*3</f>
        <v>31425558.27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>ROUND(AN9/1000,2)-0.02</f>
        <v>#REF!</v>
      </c>
      <c r="AP9" s="1">
        <v>21888.75</v>
      </c>
      <c r="AQ9" s="21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308"/>
      <c r="M10" s="308"/>
      <c r="N10" s="310"/>
      <c r="O10" s="308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4876887.05*3</f>
        <v>14630661.149999999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1" t="e">
        <f t="shared" ref="AO10:AO16" si="15">ROUND(AN10/1000,2)</f>
        <v>#REF!</v>
      </c>
      <c r="AP10" s="299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308"/>
      <c r="M11" s="308"/>
      <c r="N11" s="310"/>
      <c r="O11" s="30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1567117.87*3</f>
        <v>4701353.6100000003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1" t="e">
        <f t="shared" si="15"/>
        <v>#REF!</v>
      </c>
      <c r="AP11" s="299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308"/>
      <c r="M12" s="308"/>
      <c r="N12" s="310"/>
      <c r="O12" s="308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79">
        <f>5014878.65*3</f>
        <v>15044635.950000001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1" t="e">
        <f t="shared" si="15"/>
        <v>#REF!</v>
      </c>
      <c r="AP12" s="299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308"/>
      <c r="M13" s="308"/>
      <c r="N13" s="310"/>
      <c r="O13" s="30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2732436.67*3</f>
        <v>8197310.0099999998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1" t="e">
        <f t="shared" si="15"/>
        <v>#REF!</v>
      </c>
      <c r="AP13" s="299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308"/>
      <c r="M14" s="308"/>
      <c r="N14" s="310"/>
      <c r="O14" s="308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79">
        <f>4078362.11*3</f>
        <v>12235086.33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1" t="e">
        <f t="shared" si="15"/>
        <v>#REF!</v>
      </c>
      <c r="AP14" s="299"/>
      <c r="AQ14" s="61" t="e">
        <f>-AO14</f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4.5325100000000003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310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4172724.02*3+45910270+4051780</f>
        <v>62480222.060000002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4.3826700000000001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310"/>
      <c r="O16" s="18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79">
        <f>2362598.88*3+30046440+7258420+757830</f>
        <v>45150486.640000001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300" t="e">
        <f>V20/X20</f>
        <v>#REF!</v>
      </c>
      <c r="M17" s="300" t="e">
        <f>ROUND(D18*L17,2)</f>
        <v>#REF!</v>
      </c>
      <c r="N17" s="310"/>
      <c r="O17" s="30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1020725.2*3</f>
        <v>3062175.5999999996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301"/>
      <c r="M18" s="301"/>
      <c r="N18" s="310"/>
      <c r="O18" s="301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79">
        <f>8330355.19*3</f>
        <v>24991065.57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301"/>
      <c r="M19" s="301"/>
      <c r="N19" s="310"/>
      <c r="O19" s="301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79">
        <f>7095244.85*3</f>
        <v>21285734.549999997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302"/>
      <c r="M20" s="302"/>
      <c r="N20" s="311"/>
      <c r="O20" s="302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81">
        <f>4735365.42*3</f>
        <v>14206096.26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  <c r="AO21" s="10" t="e">
        <f>SUM(AO9:AO20)</f>
        <v>#REF!</v>
      </c>
      <c r="AP21" s="218" t="s">
        <v>127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45" t="e">
        <f>AF22*10</f>
        <v>#REF!</v>
      </c>
      <c r="AN23" s="21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216">
        <v>5191.0600000000004</v>
      </c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216" t="e">
        <f>AN24-AN23</f>
        <v>#REF!</v>
      </c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4"/>
      <c r="P1" s="284"/>
      <c r="Q1" s="284"/>
      <c r="R1" s="284"/>
      <c r="S1" s="195"/>
      <c r="T1" s="195"/>
    </row>
    <row r="2" spans="1:44" ht="22.5" customHeight="1" x14ac:dyDescent="0.3">
      <c r="O2" s="285"/>
      <c r="P2" s="285"/>
      <c r="Q2" s="285"/>
      <c r="R2" s="285"/>
      <c r="S2" s="196"/>
      <c r="T2" s="196"/>
    </row>
    <row r="3" spans="1:44" ht="48" customHeight="1" x14ac:dyDescent="0.3">
      <c r="C3" s="286" t="s">
        <v>114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"/>
      <c r="R3" s="2" t="s">
        <v>16</v>
      </c>
      <c r="S3" s="2"/>
      <c r="T3" s="2"/>
    </row>
    <row r="4" spans="1:44" s="3" customFormat="1" ht="43.9" customHeight="1" x14ac:dyDescent="0.3">
      <c r="B4" s="287" t="s">
        <v>7</v>
      </c>
      <c r="C4" s="287" t="s">
        <v>8</v>
      </c>
      <c r="D4" s="288" t="s">
        <v>52</v>
      </c>
      <c r="E4" s="288" t="s">
        <v>58</v>
      </c>
      <c r="F4" s="291" t="s">
        <v>10</v>
      </c>
      <c r="G4" s="292"/>
      <c r="H4" s="292"/>
      <c r="I4" s="292"/>
      <c r="J4" s="292"/>
      <c r="K4" s="292"/>
      <c r="L4" s="292"/>
      <c r="M4" s="293" t="s">
        <v>38</v>
      </c>
      <c r="N4" s="293" t="s">
        <v>42</v>
      </c>
      <c r="O4" s="293" t="s">
        <v>28</v>
      </c>
      <c r="P4" s="297" t="s">
        <v>53</v>
      </c>
      <c r="Q4" s="297" t="s">
        <v>29</v>
      </c>
      <c r="R4" s="297" t="s">
        <v>17</v>
      </c>
      <c r="S4" s="63"/>
      <c r="T4" s="63"/>
      <c r="AE4" s="146"/>
      <c r="AF4" s="146"/>
      <c r="AH4" s="146"/>
      <c r="AL4" s="202"/>
      <c r="AM4" s="202"/>
      <c r="AN4" s="202"/>
      <c r="AO4" s="202"/>
    </row>
    <row r="5" spans="1:44" s="4" customFormat="1" ht="69" customHeight="1" x14ac:dyDescent="0.3">
      <c r="B5" s="287"/>
      <c r="C5" s="287"/>
      <c r="D5" s="289"/>
      <c r="E5" s="289"/>
      <c r="F5" s="293" t="s">
        <v>11</v>
      </c>
      <c r="G5" s="293" t="s">
        <v>48</v>
      </c>
      <c r="H5" s="291" t="s">
        <v>116</v>
      </c>
      <c r="I5" s="292"/>
      <c r="J5" s="296"/>
      <c r="K5" s="297" t="s">
        <v>36</v>
      </c>
      <c r="L5" s="297" t="s">
        <v>37</v>
      </c>
      <c r="M5" s="294"/>
      <c r="N5" s="294"/>
      <c r="O5" s="294"/>
      <c r="P5" s="312"/>
      <c r="Q5" s="312"/>
      <c r="R5" s="312"/>
      <c r="S5" s="63"/>
      <c r="T5" s="303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287"/>
      <c r="C6" s="287"/>
      <c r="D6" s="290"/>
      <c r="E6" s="290"/>
      <c r="F6" s="295"/>
      <c r="G6" s="295"/>
      <c r="H6" s="197" t="s">
        <v>122</v>
      </c>
      <c r="I6" s="197" t="s">
        <v>117</v>
      </c>
      <c r="J6" s="197" t="s">
        <v>118</v>
      </c>
      <c r="K6" s="298"/>
      <c r="L6" s="298"/>
      <c r="M6" s="295"/>
      <c r="N6" s="295"/>
      <c r="O6" s="295"/>
      <c r="P6" s="298"/>
      <c r="Q6" s="298"/>
      <c r="R6" s="298"/>
      <c r="S6" s="63"/>
      <c r="T6" s="303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287"/>
      <c r="C7" s="287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3"/>
      <c r="U7" s="304" t="s">
        <v>18</v>
      </c>
      <c r="V7" s="305"/>
      <c r="AE7" s="145"/>
      <c r="AF7" s="145"/>
      <c r="AH7" s="145" t="s">
        <v>59</v>
      </c>
      <c r="AL7" s="306" t="s">
        <v>113</v>
      </c>
      <c r="AM7" s="306"/>
      <c r="AN7" s="200"/>
      <c r="AO7" s="200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7" t="e">
        <f>V14/X14</f>
        <v>#REF!</v>
      </c>
      <c r="M9" s="307" t="e">
        <f>D9*L9</f>
        <v>#REF!</v>
      </c>
      <c r="N9" s="309" t="e">
        <f>R22/R23</f>
        <v>#REF!</v>
      </c>
      <c r="O9" s="30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 t="shared" ref="AO9:AO16" si="3">ROUND(AN9/1000,2)</f>
        <v>#REF!</v>
      </c>
      <c r="AP9" s="1">
        <v>21888.75</v>
      </c>
      <c r="AQ9" s="21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5">F10*G10*H10*J10*I10</f>
        <v>#REF!</v>
      </c>
      <c r="L10" s="308"/>
      <c r="M10" s="308"/>
      <c r="N10" s="310"/>
      <c r="O10" s="308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8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45">
        <v>4919311.38</v>
      </c>
      <c r="AF10" s="147" t="e">
        <f t="shared" ref="AF10:AF22" si="11">P10-AE10</f>
        <v>#REF!</v>
      </c>
      <c r="AG10" s="60" t="e">
        <f t="shared" ref="AG10:AG20" si="12">ROUND(AF10*10/1000,3)</f>
        <v>#REF!</v>
      </c>
      <c r="AH10" s="147" t="e">
        <f t="shared" ref="AH10:AH20" si="13">ROUND(Q10/1000,2)</f>
        <v>#REF!</v>
      </c>
      <c r="AL10" s="215">
        <v>4876782.2699999996</v>
      </c>
      <c r="AM10" s="215" t="e">
        <f t="shared" ref="AM10:AM20" si="14">P10-AL10</f>
        <v>#REF!</v>
      </c>
      <c r="AN10" s="217" t="e">
        <f t="shared" ref="AN10:AN20" si="15">AM10*3</f>
        <v>#REF!</v>
      </c>
      <c r="AO10" s="1" t="e">
        <f t="shared" si="3"/>
        <v>#REF!</v>
      </c>
      <c r="AP10" s="299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5"/>
        <v>#REF!</v>
      </c>
      <c r="L11" s="308"/>
      <c r="M11" s="308"/>
      <c r="N11" s="310"/>
      <c r="O11" s="308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8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45">
        <v>1584940.64</v>
      </c>
      <c r="AF11" s="147" t="e">
        <f t="shared" si="11"/>
        <v>#REF!</v>
      </c>
      <c r="AG11" s="60" t="e">
        <f t="shared" si="12"/>
        <v>#REF!</v>
      </c>
      <c r="AH11" s="147" t="e">
        <f t="shared" si="13"/>
        <v>#REF!</v>
      </c>
      <c r="AL11" s="215">
        <v>1567084.2</v>
      </c>
      <c r="AM11" s="215" t="e">
        <f t="shared" si="14"/>
        <v>#REF!</v>
      </c>
      <c r="AN11" s="217" t="e">
        <f t="shared" si="15"/>
        <v>#REF!</v>
      </c>
      <c r="AO11" s="1" t="e">
        <f t="shared" si="3"/>
        <v>#REF!</v>
      </c>
      <c r="AP11" s="299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5"/>
        <v>#REF!</v>
      </c>
      <c r="L12" s="308"/>
      <c r="M12" s="308"/>
      <c r="N12" s="310"/>
      <c r="O12" s="308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8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45">
        <v>5108909.84</v>
      </c>
      <c r="AF12" s="147" t="e">
        <f t="shared" si="11"/>
        <v>#REF!</v>
      </c>
      <c r="AG12" s="60" t="e">
        <f t="shared" si="12"/>
        <v>#REF!</v>
      </c>
      <c r="AH12" s="147" t="e">
        <f>ROUND(Q12/1000,2)-0.01</f>
        <v>#REF!</v>
      </c>
      <c r="AL12" s="215">
        <v>5014770.9000000004</v>
      </c>
      <c r="AM12" s="215" t="e">
        <f t="shared" si="14"/>
        <v>#REF!</v>
      </c>
      <c r="AN12" s="217" t="e">
        <f t="shared" si="15"/>
        <v>#REF!</v>
      </c>
      <c r="AO12" s="1" t="e">
        <f t="shared" si="3"/>
        <v>#REF!</v>
      </c>
      <c r="AP12" s="299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5"/>
        <v>#REF!</v>
      </c>
      <c r="L13" s="308"/>
      <c r="M13" s="308"/>
      <c r="N13" s="310"/>
      <c r="O13" s="308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8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45">
        <v>2770699.65</v>
      </c>
      <c r="AF13" s="147" t="e">
        <f t="shared" si="11"/>
        <v>#REF!</v>
      </c>
      <c r="AG13" s="60" t="e">
        <f t="shared" si="12"/>
        <v>#REF!</v>
      </c>
      <c r="AH13" s="147" t="e">
        <f>ROUND(Q13/1000,2)-0.01</f>
        <v>#REF!</v>
      </c>
      <c r="AL13" s="215">
        <v>2732377.96</v>
      </c>
      <c r="AM13" s="215" t="e">
        <f t="shared" si="14"/>
        <v>#REF!</v>
      </c>
      <c r="AN13" s="217" t="e">
        <f t="shared" si="15"/>
        <v>#REF!</v>
      </c>
      <c r="AO13" s="1" t="e">
        <f t="shared" si="3"/>
        <v>#REF!</v>
      </c>
      <c r="AP13" s="299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5"/>
        <v>#REF!</v>
      </c>
      <c r="L14" s="308"/>
      <c r="M14" s="308"/>
      <c r="N14" s="310"/>
      <c r="O14" s="308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8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5"/>
        <v>#REF!</v>
      </c>
      <c r="AO14" s="1" t="e">
        <f t="shared" si="3"/>
        <v>#REF!</v>
      </c>
      <c r="AP14" s="299"/>
      <c r="AQ14" s="1" t="e">
        <f t="shared" si="17"/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4.1276000000000002</v>
      </c>
      <c r="K15" s="131" t="e">
        <f t="shared" si="5"/>
        <v>#REF!</v>
      </c>
      <c r="L15" s="189" t="e">
        <f>U15/W15</f>
        <v>#REF!</v>
      </c>
      <c r="M15" s="189" t="e">
        <f>D15*L15</f>
        <v>#REF!</v>
      </c>
      <c r="N15" s="310"/>
      <c r="O15" s="18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5"/>
        <v>#REF!</v>
      </c>
      <c r="AO15" s="1" t="e">
        <f t="shared" si="3"/>
        <v>#REF!</v>
      </c>
    </row>
    <row r="16" spans="1:44" ht="43.9" customHeight="1" x14ac:dyDescent="0.3">
      <c r="B16" s="174">
        <v>7</v>
      </c>
      <c r="C16" s="177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4.2016999999999998</v>
      </c>
      <c r="K16" s="123" t="e">
        <f t="shared" si="5"/>
        <v>#REF!</v>
      </c>
      <c r="L16" s="189" t="e">
        <f>U16/W16</f>
        <v>#REF!</v>
      </c>
      <c r="M16" s="189" t="e">
        <f>D16*L16</f>
        <v>#REF!</v>
      </c>
      <c r="N16" s="310"/>
      <c r="O16" s="18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8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45">
        <v>2391502.73</v>
      </c>
      <c r="AF16" s="147" t="e">
        <f t="shared" si="11"/>
        <v>#REF!</v>
      </c>
      <c r="AG16" s="60" t="e">
        <f t="shared" si="12"/>
        <v>#REF!</v>
      </c>
      <c r="AH16" s="147" t="e">
        <f t="shared" si="13"/>
        <v>#REF!</v>
      </c>
      <c r="AL16" s="215">
        <v>9822671.6400000006</v>
      </c>
      <c r="AM16" s="215" t="e">
        <f t="shared" si="14"/>
        <v>#REF!</v>
      </c>
      <c r="AN16" s="21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5"/>
        <v>#REF!</v>
      </c>
      <c r="L17" s="300" t="e">
        <f>V20/X20</f>
        <v>#REF!</v>
      </c>
      <c r="M17" s="300" t="e">
        <f>ROUND(D18*L17,2)</f>
        <v>#REF!</v>
      </c>
      <c r="N17" s="310"/>
      <c r="O17" s="300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79">
        <f>1020725.2*5</f>
        <v>5103626</v>
      </c>
      <c r="T17" s="160" t="e">
        <f t="shared" si="8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4"/>
        <v>#REF!</v>
      </c>
      <c r="AN17" s="21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5"/>
        <v>#REF!</v>
      </c>
      <c r="L18" s="301"/>
      <c r="M18" s="301"/>
      <c r="N18" s="310"/>
      <c r="O18" s="301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79">
        <f>8330355.19*5</f>
        <v>41651775.950000003</v>
      </c>
      <c r="T18" s="160" t="e">
        <f t="shared" si="8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45">
        <v>8357741.0300000003</v>
      </c>
      <c r="AF18" s="147" t="e">
        <f t="shared" si="11"/>
        <v>#REF!</v>
      </c>
      <c r="AG18" s="60" t="e">
        <f t="shared" si="12"/>
        <v>#REF!</v>
      </c>
      <c r="AH18" s="147" t="e">
        <f t="shared" si="13"/>
        <v>#REF!</v>
      </c>
      <c r="AL18" s="215">
        <v>8330622.2199999997</v>
      </c>
      <c r="AM18" s="215" t="e">
        <f t="shared" si="14"/>
        <v>#REF!</v>
      </c>
      <c r="AN18" s="21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5"/>
        <v>#REF!</v>
      </c>
      <c r="L19" s="301"/>
      <c r="M19" s="301"/>
      <c r="N19" s="310"/>
      <c r="O19" s="301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79">
        <f>7095244.85*5</f>
        <v>35476224.25</v>
      </c>
      <c r="T19" s="160" t="e">
        <f t="shared" si="8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45">
        <v>7133909.4000000004</v>
      </c>
      <c r="AF19" s="147" t="e">
        <f t="shared" si="11"/>
        <v>#REF!</v>
      </c>
      <c r="AG19" s="60" t="e">
        <f t="shared" si="12"/>
        <v>#REF!</v>
      </c>
      <c r="AH19" s="147" t="e">
        <f t="shared" si="13"/>
        <v>#REF!</v>
      </c>
      <c r="AL19" s="215">
        <v>7095472.2800000003</v>
      </c>
      <c r="AM19" s="215" t="e">
        <f t="shared" si="14"/>
        <v>#REF!</v>
      </c>
      <c r="AN19" s="21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5"/>
        <v>#REF!</v>
      </c>
      <c r="L20" s="302"/>
      <c r="M20" s="302"/>
      <c r="N20" s="311"/>
      <c r="O20" s="302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81">
        <f>4735365.42*5</f>
        <v>23676827.100000001</v>
      </c>
      <c r="T20" s="160" t="e">
        <f t="shared" si="8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45">
        <v>4771903.41</v>
      </c>
      <c r="AF20" s="147" t="e">
        <f t="shared" si="11"/>
        <v>#REF!</v>
      </c>
      <c r="AG20" s="60" t="e">
        <f t="shared" si="12"/>
        <v>#REF!</v>
      </c>
      <c r="AH20" s="147" t="e">
        <f t="shared" si="13"/>
        <v>#REF!</v>
      </c>
      <c r="AL20" s="215">
        <v>4735517.22</v>
      </c>
      <c r="AM20" s="215" t="e">
        <f t="shared" si="14"/>
        <v>#REF!</v>
      </c>
      <c r="AN20" s="21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1"/>
        <v>0</v>
      </c>
      <c r="AG21" s="60"/>
      <c r="AH21" s="147"/>
      <c r="AO21" s="10" t="e">
        <f>SUM(AO9:AO20)</f>
        <v>#REF!</v>
      </c>
      <c r="AP21" s="218" t="s">
        <v>127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1"/>
        <v>#REF!</v>
      </c>
      <c r="AG22" s="148" t="e">
        <f>SUM(AG9:AG21)</f>
        <v>#REF!</v>
      </c>
      <c r="AH22" s="147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45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84"/>
      <c r="P1" s="284"/>
      <c r="Q1" s="284"/>
      <c r="R1" s="284"/>
      <c r="S1" s="195"/>
      <c r="T1" s="195"/>
    </row>
    <row r="2" spans="1:43" ht="22.5" customHeight="1" x14ac:dyDescent="0.3">
      <c r="O2" s="285"/>
      <c r="P2" s="285"/>
      <c r="Q2" s="285"/>
      <c r="R2" s="285"/>
      <c r="S2" s="196"/>
      <c r="T2" s="196"/>
    </row>
    <row r="3" spans="1:43" ht="48" customHeight="1" x14ac:dyDescent="0.3">
      <c r="C3" s="286" t="s">
        <v>114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"/>
      <c r="R3" s="2" t="s">
        <v>16</v>
      </c>
      <c r="S3" s="2"/>
      <c r="T3" s="2"/>
    </row>
    <row r="4" spans="1:43" s="3" customFormat="1" ht="43.9" customHeight="1" x14ac:dyDescent="0.3">
      <c r="B4" s="287" t="s">
        <v>7</v>
      </c>
      <c r="C4" s="287" t="s">
        <v>8</v>
      </c>
      <c r="D4" s="288" t="s">
        <v>52</v>
      </c>
      <c r="E4" s="288" t="s">
        <v>58</v>
      </c>
      <c r="F4" s="291" t="s">
        <v>10</v>
      </c>
      <c r="G4" s="292"/>
      <c r="H4" s="292"/>
      <c r="I4" s="292"/>
      <c r="J4" s="292"/>
      <c r="K4" s="292"/>
      <c r="L4" s="292"/>
      <c r="M4" s="293" t="s">
        <v>38</v>
      </c>
      <c r="N4" s="293" t="s">
        <v>42</v>
      </c>
      <c r="O4" s="293" t="s">
        <v>28</v>
      </c>
      <c r="P4" s="297" t="s">
        <v>53</v>
      </c>
      <c r="Q4" s="297" t="s">
        <v>29</v>
      </c>
      <c r="R4" s="297" t="s">
        <v>17</v>
      </c>
      <c r="S4" s="63"/>
      <c r="T4" s="63"/>
      <c r="AE4" s="146"/>
      <c r="AF4" s="146"/>
      <c r="AH4" s="146"/>
      <c r="AL4" s="202"/>
      <c r="AM4" s="202"/>
      <c r="AN4" s="202"/>
    </row>
    <row r="5" spans="1:43" s="4" customFormat="1" ht="69" customHeight="1" x14ac:dyDescent="0.3">
      <c r="B5" s="287"/>
      <c r="C5" s="287"/>
      <c r="D5" s="289"/>
      <c r="E5" s="289"/>
      <c r="F5" s="293" t="s">
        <v>11</v>
      </c>
      <c r="G5" s="293" t="s">
        <v>48</v>
      </c>
      <c r="H5" s="291" t="s">
        <v>116</v>
      </c>
      <c r="I5" s="292"/>
      <c r="J5" s="296"/>
      <c r="K5" s="297" t="s">
        <v>36</v>
      </c>
      <c r="L5" s="297" t="s">
        <v>37</v>
      </c>
      <c r="M5" s="294"/>
      <c r="N5" s="294"/>
      <c r="O5" s="294"/>
      <c r="P5" s="312"/>
      <c r="Q5" s="312"/>
      <c r="R5" s="312"/>
      <c r="S5" s="63"/>
      <c r="T5" s="303" t="s">
        <v>115</v>
      </c>
      <c r="AE5" s="146"/>
      <c r="AF5" s="146"/>
      <c r="AH5" s="146"/>
      <c r="AL5" s="213"/>
      <c r="AM5" s="213"/>
      <c r="AN5" s="213"/>
    </row>
    <row r="6" spans="1:43" s="4" customFormat="1" ht="78" customHeight="1" x14ac:dyDescent="0.3">
      <c r="B6" s="287"/>
      <c r="C6" s="287"/>
      <c r="D6" s="290"/>
      <c r="E6" s="290"/>
      <c r="F6" s="295"/>
      <c r="G6" s="295"/>
      <c r="H6" s="197" t="s">
        <v>122</v>
      </c>
      <c r="I6" s="197" t="s">
        <v>117</v>
      </c>
      <c r="J6" s="197" t="s">
        <v>118</v>
      </c>
      <c r="K6" s="298"/>
      <c r="L6" s="298"/>
      <c r="M6" s="295"/>
      <c r="N6" s="295"/>
      <c r="O6" s="295"/>
      <c r="P6" s="298"/>
      <c r="Q6" s="298"/>
      <c r="R6" s="298"/>
      <c r="S6" s="63"/>
      <c r="T6" s="303"/>
      <c r="AE6" s="146"/>
      <c r="AF6" s="146"/>
      <c r="AH6" s="146"/>
      <c r="AL6" s="213"/>
      <c r="AM6" s="213"/>
      <c r="AN6" s="213"/>
    </row>
    <row r="7" spans="1:43" s="5" customFormat="1" ht="42.75" customHeight="1" x14ac:dyDescent="0.3">
      <c r="B7" s="287"/>
      <c r="C7" s="287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3"/>
      <c r="U7" s="304" t="s">
        <v>18</v>
      </c>
      <c r="V7" s="305"/>
      <c r="AE7" s="145"/>
      <c r="AF7" s="145"/>
      <c r="AH7" s="145" t="s">
        <v>59</v>
      </c>
      <c r="AL7" s="306" t="s">
        <v>113</v>
      </c>
      <c r="AM7" s="306"/>
      <c r="AN7" s="200"/>
      <c r="AO7" s="175" t="s">
        <v>123</v>
      </c>
      <c r="AP7" s="175"/>
    </row>
    <row r="8" spans="1:43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7" t="e">
        <f>V14/X14</f>
        <v>#REF!</v>
      </c>
      <c r="M9" s="307" t="e">
        <f>D9*L9</f>
        <v>#REF!</v>
      </c>
      <c r="N9" s="309" t="e">
        <f>R22/R23</f>
        <v>#REF!</v>
      </c>
      <c r="O9" s="30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>
        <v>21888750</v>
      </c>
      <c r="AP9" s="216" t="e">
        <f>AO9-AN9</f>
        <v>#REF!</v>
      </c>
      <c r="AQ9" s="10" t="s">
        <v>124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308"/>
      <c r="M10" s="308"/>
      <c r="N10" s="310"/>
      <c r="O10" s="308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299" t="s">
        <v>125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308"/>
      <c r="M11" s="308"/>
      <c r="N11" s="310"/>
      <c r="O11" s="30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299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308"/>
      <c r="M12" s="308"/>
      <c r="N12" s="310"/>
      <c r="O12" s="308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299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308"/>
      <c r="M13" s="308"/>
      <c r="N13" s="310"/>
      <c r="O13" s="30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299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308"/>
      <c r="M14" s="308"/>
      <c r="N14" s="310"/>
      <c r="O14" s="308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299"/>
    </row>
    <row r="15" spans="1:43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87">
        <v>1</v>
      </c>
      <c r="J15" s="192">
        <v>4.1514499999999996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310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4"/>
        <v>#REF!</v>
      </c>
    </row>
    <row r="16" spans="1:43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9">
        <v>1.0707</v>
      </c>
      <c r="I16" s="183">
        <v>1.1734</v>
      </c>
      <c r="J16" s="183">
        <v>4.2266500000000002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310"/>
      <c r="O16" s="18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300" t="e">
        <f>V20/X20</f>
        <v>#REF!</v>
      </c>
      <c r="M17" s="300" t="e">
        <f>ROUND(D18*L17,2)</f>
        <v>#REF!</v>
      </c>
      <c r="N17" s="310"/>
      <c r="O17" s="30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1020725.2*5</f>
        <v>5103626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301"/>
      <c r="M18" s="301"/>
      <c r="N18" s="310"/>
      <c r="O18" s="301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79">
        <f>8330355.19*5</f>
        <v>41651775.950000003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301"/>
      <c r="M19" s="301"/>
      <c r="N19" s="310"/>
      <c r="O19" s="301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79">
        <f>7095244.85*5</f>
        <v>35476224.25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302"/>
      <c r="M20" s="302"/>
      <c r="N20" s="311"/>
      <c r="O20" s="302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81">
        <f>4735365.42*5</f>
        <v>23676827.100000001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</row>
    <row r="23" spans="1:40" ht="42.75" customHeight="1" x14ac:dyDescent="0.3">
      <c r="B23" s="21"/>
      <c r="C23" s="21"/>
      <c r="D23" s="151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45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9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84"/>
      <c r="N1" s="284"/>
      <c r="O1" s="284"/>
      <c r="P1" s="284"/>
      <c r="Q1" s="115"/>
    </row>
    <row r="2" spans="1:22" ht="22.5" customHeight="1" x14ac:dyDescent="0.3">
      <c r="M2" s="285"/>
      <c r="N2" s="285"/>
      <c r="O2" s="285"/>
      <c r="P2" s="285"/>
      <c r="Q2" s="116"/>
    </row>
    <row r="3" spans="1:22" ht="48" customHeight="1" x14ac:dyDescent="0.3">
      <c r="C3" s="286" t="s">
        <v>55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"/>
      <c r="P3" s="2" t="s">
        <v>16</v>
      </c>
      <c r="Q3" s="2"/>
    </row>
    <row r="4" spans="1:22" s="3" customFormat="1" ht="43.9" customHeight="1" x14ac:dyDescent="0.3">
      <c r="B4" s="287" t="s">
        <v>7</v>
      </c>
      <c r="C4" s="287" t="s">
        <v>8</v>
      </c>
      <c r="D4" s="313" t="s">
        <v>52</v>
      </c>
      <c r="E4" s="288" t="s">
        <v>44</v>
      </c>
      <c r="F4" s="291" t="s">
        <v>10</v>
      </c>
      <c r="G4" s="292"/>
      <c r="H4" s="292"/>
      <c r="I4" s="292"/>
      <c r="J4" s="292"/>
      <c r="K4" s="314" t="s">
        <v>38</v>
      </c>
      <c r="L4" s="314" t="s">
        <v>42</v>
      </c>
      <c r="M4" s="314" t="s">
        <v>28</v>
      </c>
      <c r="N4" s="318" t="s">
        <v>53</v>
      </c>
      <c r="O4" s="318" t="s">
        <v>29</v>
      </c>
      <c r="P4" s="297" t="s">
        <v>17</v>
      </c>
      <c r="Q4" s="63"/>
    </row>
    <row r="5" spans="1:22" s="4" customFormat="1" ht="144.75" customHeight="1" x14ac:dyDescent="0.3">
      <c r="B5" s="287"/>
      <c r="C5" s="287"/>
      <c r="D5" s="313"/>
      <c r="E5" s="289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4"/>
      <c r="L5" s="314"/>
      <c r="M5" s="314"/>
      <c r="N5" s="318"/>
      <c r="O5" s="318"/>
      <c r="P5" s="298"/>
      <c r="Q5" s="63"/>
    </row>
    <row r="6" spans="1:22" s="5" customFormat="1" ht="42.75" customHeight="1" x14ac:dyDescent="0.3">
      <c r="B6" s="287"/>
      <c r="C6" s="287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304" t="s">
        <v>18</v>
      </c>
      <c r="S6" s="305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5" t="e">
        <f>S15/U15</f>
        <v>#REF!</v>
      </c>
      <c r="K8" s="319" t="e">
        <f>ROUND(D8*J8,2)</f>
        <v>#REF!</v>
      </c>
      <c r="L8" s="322" t="e">
        <f>P20/P21</f>
        <v>#REF!</v>
      </c>
      <c r="M8" s="325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6"/>
      <c r="K9" s="320"/>
      <c r="L9" s="323"/>
      <c r="M9" s="326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6"/>
      <c r="K10" s="320"/>
      <c r="L10" s="323"/>
      <c r="M10" s="326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6"/>
      <c r="K11" s="320"/>
      <c r="L11" s="323"/>
      <c r="M11" s="326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6"/>
      <c r="K12" s="320"/>
      <c r="L12" s="323"/>
      <c r="M12" s="326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6"/>
      <c r="K13" s="320"/>
      <c r="L13" s="323"/>
      <c r="M13" s="326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6"/>
      <c r="K14" s="320"/>
      <c r="L14" s="323"/>
      <c r="M14" s="326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7"/>
      <c r="K15" s="321"/>
      <c r="L15" s="323"/>
      <c r="M15" s="327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5" t="e">
        <f>S19/U19</f>
        <v>#REF!</v>
      </c>
      <c r="K16" s="319" t="e">
        <f>ROUND(D16*J16,2)</f>
        <v>#REF!</v>
      </c>
      <c r="L16" s="323"/>
      <c r="M16" s="328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6"/>
      <c r="K17" s="320"/>
      <c r="L17" s="323"/>
      <c r="M17" s="329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6"/>
      <c r="K18" s="320"/>
      <c r="L18" s="323"/>
      <c r="M18" s="329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7"/>
      <c r="K19" s="321"/>
      <c r="L19" s="324"/>
      <c r="M19" s="330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U43"/>
  <sheetViews>
    <sheetView view="pageBreakPreview" zoomScale="60" zoomScaleNormal="53" workbookViewId="0">
      <pane xSplit="3" ySplit="7" topLeftCell="N11" activePane="bottomRight" state="frozen"/>
      <selection activeCell="C1" sqref="C1"/>
      <selection pane="topRight" activeCell="D1" sqref="D1"/>
      <selection pane="bottomLeft" activeCell="C8" sqref="C8"/>
      <selection pane="bottomRight" activeCell="AD9" sqref="AD9:AD15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2.7109375" style="1" customWidth="1"/>
    <col min="6" max="6" width="13" style="1" customWidth="1"/>
    <col min="7" max="8" width="19.28515625" style="1" customWidth="1"/>
    <col min="9" max="9" width="17" style="1" hidden="1" customWidth="1"/>
    <col min="10" max="10" width="19.140625" style="1" hidden="1" customWidth="1"/>
    <col min="11" max="11" width="24.5703125" style="1" customWidth="1"/>
    <col min="12" max="14" width="17.7109375" style="1" customWidth="1"/>
    <col min="15" max="15" width="18.5703125" style="1" customWidth="1"/>
    <col min="16" max="16" width="22.5703125" style="1" customWidth="1"/>
    <col min="17" max="17" width="19.85546875" style="1" customWidth="1"/>
    <col min="18" max="18" width="19.7109375" style="1" customWidth="1"/>
    <col min="19" max="19" width="19.85546875" style="1" customWidth="1"/>
    <col min="20" max="20" width="28.42578125" style="1" customWidth="1"/>
    <col min="21" max="21" width="23.28515625" style="1" customWidth="1"/>
    <col min="22" max="22" width="23.42578125" style="1" customWidth="1"/>
    <col min="23" max="23" width="22.140625" style="1" customWidth="1"/>
    <col min="24" max="24" width="23.28515625" style="1" customWidth="1"/>
    <col min="25" max="25" width="21.28515625" style="1" customWidth="1"/>
    <col min="26" max="26" width="23.140625" style="1" customWidth="1"/>
    <col min="27" max="27" width="9.140625" style="1" customWidth="1"/>
    <col min="28" max="28" width="23.28515625" style="1" customWidth="1"/>
    <col min="29" max="29" width="17" style="1" customWidth="1"/>
    <col min="30" max="30" width="20.140625" style="1" customWidth="1"/>
    <col min="31" max="31" width="17.85546875" style="1" customWidth="1"/>
    <col min="32" max="32" width="27.5703125" style="1" customWidth="1"/>
    <col min="33" max="33" width="19.7109375" style="145" customWidth="1"/>
    <col min="34" max="34" width="20.42578125" style="145" customWidth="1"/>
    <col min="35" max="35" width="21.5703125" style="1" customWidth="1"/>
    <col min="36" max="36" width="15.7109375" style="145" customWidth="1"/>
    <col min="37" max="37" width="14.85546875" style="1" customWidth="1"/>
    <col min="38" max="39" width="9.140625" style="1" customWidth="1"/>
    <col min="40" max="40" width="21.42578125" style="1" customWidth="1"/>
    <col min="41" max="41" width="17.140625" style="1" customWidth="1"/>
    <col min="42" max="42" width="19.28515625" style="1" customWidth="1"/>
    <col min="43" max="43" width="15" style="1" customWidth="1"/>
    <col min="44" max="44" width="15" style="1" bestFit="1" customWidth="1"/>
    <col min="45" max="45" width="18.85546875" style="1" customWidth="1"/>
    <col min="46" max="46" width="20.85546875" style="1" customWidth="1"/>
    <col min="47" max="47" width="18.42578125" style="1" customWidth="1"/>
    <col min="48" max="16384" width="9.140625" style="1"/>
  </cols>
  <sheetData>
    <row r="1" spans="2:47" ht="82.5" customHeight="1" x14ac:dyDescent="0.3">
      <c r="C1" s="340" t="s">
        <v>137</v>
      </c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V1" s="240"/>
    </row>
    <row r="2" spans="2:47" ht="22.5" customHeight="1" x14ac:dyDescent="0.3">
      <c r="C2" s="341" t="s">
        <v>144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V2" s="241"/>
    </row>
    <row r="3" spans="2:47" ht="48" customHeight="1" x14ac:dyDescent="0.3"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2" t="s">
        <v>16</v>
      </c>
      <c r="V3" s="2"/>
    </row>
    <row r="4" spans="2:47" s="3" customFormat="1" ht="43.9" customHeight="1" x14ac:dyDescent="0.3">
      <c r="B4" s="287" t="s">
        <v>7</v>
      </c>
      <c r="C4" s="287" t="s">
        <v>8</v>
      </c>
      <c r="D4" s="343" t="s">
        <v>138</v>
      </c>
      <c r="E4" s="288" t="s">
        <v>141</v>
      </c>
      <c r="F4" s="291" t="s">
        <v>10</v>
      </c>
      <c r="G4" s="292"/>
      <c r="H4" s="292"/>
      <c r="I4" s="292"/>
      <c r="J4" s="292"/>
      <c r="K4" s="292"/>
      <c r="L4" s="292"/>
      <c r="M4" s="332" t="s">
        <v>139</v>
      </c>
      <c r="N4" s="293" t="s">
        <v>42</v>
      </c>
      <c r="O4" s="332" t="s">
        <v>140</v>
      </c>
      <c r="P4" s="297" t="s">
        <v>153</v>
      </c>
      <c r="Q4" s="335" t="s">
        <v>128</v>
      </c>
      <c r="R4" s="336"/>
      <c r="S4" s="337"/>
      <c r="T4" s="297" t="s">
        <v>152</v>
      </c>
      <c r="U4" s="297" t="s">
        <v>17</v>
      </c>
      <c r="V4" s="63"/>
      <c r="AG4" s="250"/>
      <c r="AH4" s="250"/>
      <c r="AJ4" s="250"/>
    </row>
    <row r="5" spans="2:47" s="4" customFormat="1" ht="69" customHeight="1" x14ac:dyDescent="0.3">
      <c r="B5" s="287"/>
      <c r="C5" s="287"/>
      <c r="D5" s="344"/>
      <c r="E5" s="289"/>
      <c r="F5" s="293" t="s">
        <v>11</v>
      </c>
      <c r="G5" s="293" t="s">
        <v>143</v>
      </c>
      <c r="H5" s="346" t="s">
        <v>116</v>
      </c>
      <c r="I5" s="226"/>
      <c r="J5" s="227"/>
      <c r="K5" s="297" t="s">
        <v>36</v>
      </c>
      <c r="L5" s="297" t="s">
        <v>37</v>
      </c>
      <c r="M5" s="333"/>
      <c r="N5" s="294"/>
      <c r="O5" s="333"/>
      <c r="P5" s="312"/>
      <c r="Q5" s="338" t="s">
        <v>122</v>
      </c>
      <c r="R5" s="338" t="s">
        <v>129</v>
      </c>
      <c r="S5" s="338" t="s">
        <v>130</v>
      </c>
      <c r="T5" s="312"/>
      <c r="U5" s="312"/>
      <c r="V5" s="63"/>
      <c r="AG5" s="250"/>
      <c r="AH5" s="250"/>
      <c r="AJ5" s="250"/>
    </row>
    <row r="6" spans="2:47" s="4" customFormat="1" ht="271.5" customHeight="1" x14ac:dyDescent="0.3">
      <c r="B6" s="287"/>
      <c r="C6" s="287"/>
      <c r="D6" s="345"/>
      <c r="E6" s="290"/>
      <c r="F6" s="295"/>
      <c r="G6" s="295"/>
      <c r="H6" s="347"/>
      <c r="I6" s="247" t="s">
        <v>117</v>
      </c>
      <c r="J6" s="247" t="s">
        <v>118</v>
      </c>
      <c r="K6" s="298"/>
      <c r="L6" s="298"/>
      <c r="M6" s="334"/>
      <c r="N6" s="295"/>
      <c r="O6" s="334"/>
      <c r="P6" s="298"/>
      <c r="Q6" s="339"/>
      <c r="R6" s="339"/>
      <c r="S6" s="339"/>
      <c r="T6" s="298"/>
      <c r="U6" s="298"/>
      <c r="V6" s="63"/>
      <c r="AG6" s="250"/>
      <c r="AH6" s="250"/>
      <c r="AJ6" s="250"/>
    </row>
    <row r="7" spans="2:47" s="5" customFormat="1" ht="42.75" customHeight="1" x14ac:dyDescent="0.3">
      <c r="B7" s="287"/>
      <c r="C7" s="287"/>
      <c r="D7" s="243" t="s">
        <v>31</v>
      </c>
      <c r="E7" s="246" t="s">
        <v>32</v>
      </c>
      <c r="F7" s="248" t="s">
        <v>15</v>
      </c>
      <c r="G7" s="248" t="s">
        <v>142</v>
      </c>
      <c r="H7" s="248" t="s">
        <v>145</v>
      </c>
      <c r="I7" s="248" t="s">
        <v>120</v>
      </c>
      <c r="J7" s="24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220" t="s">
        <v>131</v>
      </c>
      <c r="R7" s="220" t="s">
        <v>132</v>
      </c>
      <c r="S7" s="220" t="s">
        <v>133</v>
      </c>
      <c r="T7" s="7" t="s">
        <v>30</v>
      </c>
      <c r="U7" s="7"/>
      <c r="V7" s="249"/>
      <c r="W7" s="331" t="s">
        <v>18</v>
      </c>
      <c r="X7" s="305"/>
      <c r="AG7" s="145"/>
      <c r="AH7" s="145"/>
      <c r="AJ7" s="145"/>
      <c r="AN7" s="306"/>
      <c r="AO7" s="306"/>
      <c r="AP7" s="245"/>
      <c r="AQ7" s="175"/>
      <c r="AR7" s="175"/>
    </row>
    <row r="8" spans="2:47" s="5" customFormat="1" ht="26.25" customHeight="1" x14ac:dyDescent="0.3">
      <c r="B8" s="242">
        <v>1</v>
      </c>
      <c r="C8" s="242">
        <v>2</v>
      </c>
      <c r="D8" s="246">
        <v>3</v>
      </c>
      <c r="E8" s="246">
        <v>4</v>
      </c>
      <c r="F8" s="247">
        <v>5</v>
      </c>
      <c r="G8" s="247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221">
        <v>16</v>
      </c>
      <c r="R8" s="221">
        <v>17</v>
      </c>
      <c r="S8" s="221">
        <v>18</v>
      </c>
      <c r="T8" s="6">
        <v>19</v>
      </c>
      <c r="U8" s="8"/>
      <c r="V8" s="244"/>
      <c r="AG8" s="145"/>
      <c r="AH8" s="145"/>
      <c r="AJ8" s="145"/>
    </row>
    <row r="9" spans="2:47" ht="43.9" customHeight="1" x14ac:dyDescent="0.3">
      <c r="B9" s="20"/>
      <c r="C9" s="9" t="s">
        <v>1</v>
      </c>
      <c r="D9" s="16" t="e">
        <f>$D$19/$E$18/10</f>
        <v>#REF!</v>
      </c>
      <c r="E9" s="67" t="e">
        <f>#REF!</f>
        <v>#REF!</v>
      </c>
      <c r="F9" s="68" t="e">
        <f>#REF!</f>
        <v>#REF!</v>
      </c>
      <c r="G9" s="253">
        <v>1.0214000000000001</v>
      </c>
      <c r="H9" s="149">
        <v>1.0709</v>
      </c>
      <c r="I9" s="150"/>
      <c r="J9" s="150"/>
      <c r="K9" s="224" t="e">
        <f>F9*G9*H9</f>
        <v>#REF!</v>
      </c>
      <c r="L9" s="251" t="e">
        <f>K9</f>
        <v>#REF!</v>
      </c>
      <c r="M9" s="252" t="e">
        <f>L9*D9</f>
        <v>#REF!</v>
      </c>
      <c r="N9" s="309" t="e">
        <f>U18/U19</f>
        <v>#REF!</v>
      </c>
      <c r="O9" s="252" t="e">
        <f>M9/$N$9</f>
        <v>#REF!</v>
      </c>
      <c r="P9" s="69" t="e">
        <f>ROUND(O9*E9,2)</f>
        <v>#REF!</v>
      </c>
      <c r="Q9" s="69">
        <v>6030349.7300000004</v>
      </c>
      <c r="R9" s="69" t="e">
        <f>P9-Q9-S9</f>
        <v>#REF!</v>
      </c>
      <c r="S9" s="69">
        <f>ROUND(10638.69*1000/12,2)</f>
        <v>886557.5</v>
      </c>
      <c r="T9" s="18" t="e">
        <f>#REF!</f>
        <v>#REF!</v>
      </c>
      <c r="U9" s="100" t="e">
        <f>M9*E9</f>
        <v>#REF!</v>
      </c>
      <c r="V9" s="179" t="e">
        <f>-AH9</f>
        <v>#REF!</v>
      </c>
      <c r="W9" s="155" t="e">
        <f>D9*E9*K9</f>
        <v>#REF!</v>
      </c>
      <c r="X9" s="158"/>
      <c r="Y9" s="157" t="e">
        <f>D9*E9</f>
        <v>#REF!</v>
      </c>
      <c r="Z9" s="156"/>
      <c r="AA9" s="39"/>
      <c r="AB9" s="254" t="e">
        <f>R9*10/1000</f>
        <v>#REF!</v>
      </c>
      <c r="AC9" s="255">
        <f>51072.54/12*10</f>
        <v>42560.45</v>
      </c>
      <c r="AD9" s="255" t="e">
        <f>AB9-AC9</f>
        <v>#REF!</v>
      </c>
      <c r="AE9" s="42"/>
      <c r="AF9" s="42">
        <v>140083556.75999999</v>
      </c>
      <c r="AG9" s="147" t="e">
        <f t="shared" ref="AG9:AG12" si="0">AF9-T9</f>
        <v>#REF!</v>
      </c>
      <c r="AH9" s="147" t="e">
        <f>ROUND(AG9/1000,2)</f>
        <v>#REF!</v>
      </c>
      <c r="AI9" s="61"/>
      <c r="AJ9" s="147"/>
      <c r="AN9" s="176"/>
      <c r="AO9" s="176"/>
      <c r="AP9" s="176"/>
      <c r="AQ9" s="42"/>
      <c r="AS9" s="42"/>
      <c r="AT9" s="42"/>
      <c r="AU9" s="10"/>
    </row>
    <row r="10" spans="2:47" ht="43.9" customHeight="1" x14ac:dyDescent="0.3">
      <c r="B10" s="20"/>
      <c r="C10" s="9" t="s">
        <v>4</v>
      </c>
      <c r="D10" s="16" t="e">
        <f>$D$9</f>
        <v>#REF!</v>
      </c>
      <c r="E10" s="67" t="e">
        <f>#REF!</f>
        <v>#REF!</v>
      </c>
      <c r="F10" s="68" t="e">
        <f>#REF!</f>
        <v>#REF!</v>
      </c>
      <c r="G10" s="253">
        <v>1.002</v>
      </c>
      <c r="H10" s="149">
        <v>1.0382</v>
      </c>
      <c r="I10" s="150"/>
      <c r="J10" s="150"/>
      <c r="K10" s="224" t="e">
        <f t="shared" ref="K10:K11" si="1">F10*G10*H10</f>
        <v>#REF!</v>
      </c>
      <c r="L10" s="251" t="e">
        <f t="shared" ref="L10:L15" si="2">K10</f>
        <v>#REF!</v>
      </c>
      <c r="M10" s="252" t="e">
        <f t="shared" ref="M10:M15" si="3">L10*D10</f>
        <v>#REF!</v>
      </c>
      <c r="N10" s="310"/>
      <c r="O10" s="252" t="e">
        <f t="shared" ref="O10:O15" si="4">M10/$N$9</f>
        <v>#REF!</v>
      </c>
      <c r="P10" s="69" t="e">
        <f t="shared" ref="P10:P15" si="5">ROUND(O10*E10,2)</f>
        <v>#REF!</v>
      </c>
      <c r="Q10" s="69">
        <v>1731331.05</v>
      </c>
      <c r="R10" s="69" t="e">
        <f t="shared" ref="R10:R15" si="6">P10-Q10-S10</f>
        <v>#REF!</v>
      </c>
      <c r="S10" s="69">
        <f>ROUND(3542.93*1000/12,2)</f>
        <v>295244.17</v>
      </c>
      <c r="T10" s="18" t="e">
        <f>#REF!</f>
        <v>#REF!</v>
      </c>
      <c r="U10" s="100" t="e">
        <f t="shared" ref="U10:U15" si="7">M10*E10</f>
        <v>#REF!</v>
      </c>
      <c r="V10" s="179" t="e">
        <f t="shared" ref="V10:V15" si="8">-AH10</f>
        <v>#REF!</v>
      </c>
      <c r="W10" s="155" t="e">
        <f t="shared" ref="W10:W15" si="9">D10*E10*K10</f>
        <v>#REF!</v>
      </c>
      <c r="X10" s="158" t="e">
        <f>W10+W9</f>
        <v>#REF!</v>
      </c>
      <c r="Y10" s="157" t="e">
        <f t="shared" ref="Y10:Y15" si="10">D10*E10</f>
        <v>#REF!</v>
      </c>
      <c r="Z10" s="158" t="e">
        <f>Y10+Y9</f>
        <v>#REF!</v>
      </c>
      <c r="AA10" s="39"/>
      <c r="AB10" s="254" t="e">
        <f t="shared" ref="AB10:AB15" si="11">R10*10/1000</f>
        <v>#REF!</v>
      </c>
      <c r="AC10" s="255">
        <f>16141.63/12*10</f>
        <v>13451.358333333334</v>
      </c>
      <c r="AD10" s="255" t="e">
        <f t="shared" ref="AD10:AD15" si="12">AB10-AC10</f>
        <v>#REF!</v>
      </c>
      <c r="AE10" s="42"/>
      <c r="AF10" s="42">
        <v>43253152.799999997</v>
      </c>
      <c r="AG10" s="147" t="e">
        <f t="shared" si="0"/>
        <v>#REF!</v>
      </c>
      <c r="AH10" s="147" t="e">
        <f t="shared" ref="AH10:AH15" si="13">ROUND(AG10/1000,2)</f>
        <v>#REF!</v>
      </c>
      <c r="AI10" s="61"/>
      <c r="AJ10" s="147"/>
      <c r="AN10" s="176"/>
      <c r="AO10" s="176"/>
      <c r="AP10" s="176"/>
      <c r="AQ10" s="42"/>
      <c r="AS10" s="42"/>
      <c r="AT10" s="42"/>
      <c r="AU10" s="10"/>
    </row>
    <row r="11" spans="2:47" ht="43.9" customHeight="1" x14ac:dyDescent="0.3">
      <c r="B11" s="20"/>
      <c r="C11" s="9" t="s">
        <v>3</v>
      </c>
      <c r="D11" s="16" t="e">
        <f t="shared" ref="D11:D15" si="14">$D$9</f>
        <v>#REF!</v>
      </c>
      <c r="E11" s="67" t="e">
        <f>#REF!</f>
        <v>#REF!</v>
      </c>
      <c r="F11" s="68" t="e">
        <f>#REF!</f>
        <v>#REF!</v>
      </c>
      <c r="G11" s="253">
        <v>1.0952</v>
      </c>
      <c r="H11" s="149">
        <v>1.0355000000000001</v>
      </c>
      <c r="I11" s="150"/>
      <c r="J11" s="150"/>
      <c r="K11" s="224" t="e">
        <f t="shared" si="1"/>
        <v>#REF!</v>
      </c>
      <c r="L11" s="251" t="e">
        <f t="shared" si="2"/>
        <v>#REF!</v>
      </c>
      <c r="M11" s="252" t="e">
        <f t="shared" si="3"/>
        <v>#REF!</v>
      </c>
      <c r="N11" s="310"/>
      <c r="O11" s="252" t="e">
        <f t="shared" si="4"/>
        <v>#REF!</v>
      </c>
      <c r="P11" s="69" t="e">
        <f t="shared" si="5"/>
        <v>#REF!</v>
      </c>
      <c r="Q11" s="69">
        <v>4528323.26</v>
      </c>
      <c r="R11" s="69" t="e">
        <f t="shared" si="6"/>
        <v>#REF!</v>
      </c>
      <c r="S11" s="69">
        <f>ROUND(21361.7*1000/12,2)-0.01</f>
        <v>1780141.66</v>
      </c>
      <c r="T11" s="18" t="e">
        <f>#REF!</f>
        <v>#REF!</v>
      </c>
      <c r="U11" s="100" t="e">
        <f t="shared" si="7"/>
        <v>#REF!</v>
      </c>
      <c r="V11" s="179" t="e">
        <f t="shared" si="8"/>
        <v>#REF!</v>
      </c>
      <c r="W11" s="155" t="e">
        <f t="shared" si="9"/>
        <v>#REF!</v>
      </c>
      <c r="X11" s="158"/>
      <c r="Y11" s="157" t="e">
        <f t="shared" si="10"/>
        <v>#REF!</v>
      </c>
      <c r="Z11" s="158"/>
      <c r="AA11" s="39"/>
      <c r="AB11" s="254" t="e">
        <f t="shared" si="11"/>
        <v>#REF!</v>
      </c>
      <c r="AC11" s="255">
        <f>66946.64/12*10</f>
        <v>55788.866666666661</v>
      </c>
      <c r="AD11" s="255" t="e">
        <f t="shared" si="12"/>
        <v>#REF!</v>
      </c>
      <c r="AE11" s="42"/>
      <c r="AF11" s="42">
        <v>149897439</v>
      </c>
      <c r="AG11" s="147" t="e">
        <f t="shared" si="0"/>
        <v>#REF!</v>
      </c>
      <c r="AH11" s="147" t="e">
        <f t="shared" si="13"/>
        <v>#REF!</v>
      </c>
      <c r="AI11" s="61"/>
      <c r="AJ11" s="147"/>
      <c r="AN11" s="176"/>
      <c r="AO11" s="176"/>
      <c r="AP11" s="176"/>
      <c r="AQ11" s="42"/>
      <c r="AS11" s="42"/>
      <c r="AT11" s="42"/>
      <c r="AU11" s="10"/>
    </row>
    <row r="12" spans="2:47" ht="43.9" customHeight="1" x14ac:dyDescent="0.3">
      <c r="B12" s="20"/>
      <c r="C12" s="9" t="s">
        <v>50</v>
      </c>
      <c r="D12" s="16" t="e">
        <f t="shared" si="14"/>
        <v>#REF!</v>
      </c>
      <c r="E12" s="67" t="e">
        <f>#REF!</f>
        <v>#REF!</v>
      </c>
      <c r="F12" s="68" t="e">
        <f>#REF!</f>
        <v>#REF!</v>
      </c>
      <c r="G12" s="253">
        <v>1.0137</v>
      </c>
      <c r="H12" s="149">
        <v>1.0806</v>
      </c>
      <c r="I12" s="150"/>
      <c r="J12" s="150"/>
      <c r="K12" s="224" t="e">
        <f>F12*G12*H12</f>
        <v>#REF!</v>
      </c>
      <c r="L12" s="251" t="e">
        <f t="shared" si="2"/>
        <v>#REF!</v>
      </c>
      <c r="M12" s="252" t="e">
        <f t="shared" si="3"/>
        <v>#REF!</v>
      </c>
      <c r="N12" s="310"/>
      <c r="O12" s="252" t="e">
        <f t="shared" si="4"/>
        <v>#REF!</v>
      </c>
      <c r="P12" s="69" t="e">
        <f t="shared" si="5"/>
        <v>#REF!</v>
      </c>
      <c r="Q12" s="69">
        <v>4951397.5</v>
      </c>
      <c r="R12" s="69" t="e">
        <f t="shared" si="6"/>
        <v>#REF!</v>
      </c>
      <c r="S12" s="69">
        <f>ROUND(9673.04*1000/12,2)</f>
        <v>806086.67</v>
      </c>
      <c r="T12" s="18" t="e">
        <f>#REF!</f>
        <v>#REF!</v>
      </c>
      <c r="U12" s="100" t="e">
        <f t="shared" si="7"/>
        <v>#REF!</v>
      </c>
      <c r="V12" s="179" t="e">
        <f t="shared" si="8"/>
        <v>#REF!</v>
      </c>
      <c r="W12" s="155" t="e">
        <f>D12*E12*K12</f>
        <v>#REF!</v>
      </c>
      <c r="X12" s="158" t="e">
        <f>W12+W11</f>
        <v>#REF!</v>
      </c>
      <c r="Y12" s="157" t="e">
        <f>D12*E12</f>
        <v>#REF!</v>
      </c>
      <c r="Z12" s="158" t="e">
        <f>Y12+Y11</f>
        <v>#REF!</v>
      </c>
      <c r="AA12" s="39"/>
      <c r="AB12" s="254" t="e">
        <f>R12*10/1000</f>
        <v>#REF!</v>
      </c>
      <c r="AC12" s="255">
        <f>43727.28/12*10</f>
        <v>36439.4</v>
      </c>
      <c r="AD12" s="255" t="e">
        <f t="shared" si="12"/>
        <v>#REF!</v>
      </c>
      <c r="AE12" s="42"/>
      <c r="AF12" s="42">
        <v>122001240</v>
      </c>
      <c r="AG12" s="147" t="e">
        <f t="shared" si="0"/>
        <v>#REF!</v>
      </c>
      <c r="AH12" s="147" t="e">
        <f t="shared" si="13"/>
        <v>#REF!</v>
      </c>
      <c r="AI12" s="61"/>
      <c r="AJ12" s="147"/>
      <c r="AN12" s="176"/>
      <c r="AO12" s="176"/>
      <c r="AP12" s="176"/>
      <c r="AQ12" s="42"/>
      <c r="AS12" s="42"/>
      <c r="AT12" s="42"/>
      <c r="AU12" s="10"/>
    </row>
    <row r="13" spans="2:47" ht="43.9" customHeight="1" x14ac:dyDescent="0.3">
      <c r="B13" s="20"/>
      <c r="C13" s="223" t="s">
        <v>5</v>
      </c>
      <c r="D13" s="16" t="e">
        <f t="shared" si="14"/>
        <v>#REF!</v>
      </c>
      <c r="E13" s="67" t="e">
        <f>#REF!</f>
        <v>#REF!</v>
      </c>
      <c r="F13" s="68" t="e">
        <f>#REF!</f>
        <v>#REF!</v>
      </c>
      <c r="G13" s="253">
        <v>0.92120000000000002</v>
      </c>
      <c r="H13" s="149">
        <v>1.0795999999999999</v>
      </c>
      <c r="I13" s="187"/>
      <c r="J13" s="187"/>
      <c r="K13" s="224" t="e">
        <f>F13*G13*H13</f>
        <v>#REF!</v>
      </c>
      <c r="L13" s="251" t="e">
        <f t="shared" si="2"/>
        <v>#REF!</v>
      </c>
      <c r="M13" s="252" t="e">
        <f t="shared" si="3"/>
        <v>#REF!</v>
      </c>
      <c r="N13" s="310"/>
      <c r="O13" s="252" t="e">
        <f t="shared" si="4"/>
        <v>#REF!</v>
      </c>
      <c r="P13" s="69" t="e">
        <f t="shared" si="5"/>
        <v>#REF!</v>
      </c>
      <c r="Q13" s="69">
        <v>2226246.85</v>
      </c>
      <c r="R13" s="69" t="e">
        <f t="shared" si="6"/>
        <v>#REF!</v>
      </c>
      <c r="S13" s="69">
        <f>ROUND(5594.89*1000/12,2)</f>
        <v>466240.83</v>
      </c>
      <c r="T13" s="18" t="e">
        <f>#REF!</f>
        <v>#REF!</v>
      </c>
      <c r="U13" s="100" t="e">
        <f t="shared" si="7"/>
        <v>#REF!</v>
      </c>
      <c r="V13" s="179" t="e">
        <f t="shared" si="8"/>
        <v>#REF!</v>
      </c>
      <c r="W13" s="155" t="e">
        <f t="shared" si="9"/>
        <v>#REF!</v>
      </c>
      <c r="X13" s="159"/>
      <c r="Y13" s="157" t="e">
        <f t="shared" si="10"/>
        <v>#REF!</v>
      </c>
      <c r="Z13" s="159"/>
      <c r="AA13" s="39"/>
      <c r="AB13" s="254" t="e">
        <f t="shared" si="11"/>
        <v>#REF!</v>
      </c>
      <c r="AC13" s="255">
        <f>25297.12/12*10</f>
        <v>21080.933333333334</v>
      </c>
      <c r="AD13" s="255" t="e">
        <f t="shared" si="12"/>
        <v>#REF!</v>
      </c>
      <c r="AE13" s="42"/>
      <c r="AF13" s="42">
        <v>60980382.119999997</v>
      </c>
      <c r="AG13" s="147" t="e">
        <f>AF13-T13</f>
        <v>#REF!</v>
      </c>
      <c r="AH13" s="147" t="e">
        <f t="shared" si="13"/>
        <v>#REF!</v>
      </c>
      <c r="AI13" s="61"/>
      <c r="AJ13" s="147"/>
      <c r="AN13" s="176"/>
      <c r="AO13" s="176"/>
      <c r="AP13" s="176"/>
      <c r="AQ13" s="42"/>
      <c r="AS13" s="42"/>
      <c r="AT13" s="42"/>
      <c r="AU13" s="10"/>
    </row>
    <row r="14" spans="2:47" ht="43.9" customHeight="1" x14ac:dyDescent="0.3">
      <c r="B14" s="20"/>
      <c r="C14" s="9" t="s">
        <v>6</v>
      </c>
      <c r="D14" s="16" t="e">
        <f t="shared" si="14"/>
        <v>#REF!</v>
      </c>
      <c r="E14" s="67" t="e">
        <f>#REF!</f>
        <v>#REF!</v>
      </c>
      <c r="F14" s="68" t="e">
        <f>#REF!</f>
        <v>#REF!</v>
      </c>
      <c r="G14" s="253">
        <v>0.99860000000000004</v>
      </c>
      <c r="H14" s="149">
        <v>1</v>
      </c>
      <c r="I14" s="150"/>
      <c r="J14" s="150"/>
      <c r="K14" s="224" t="e">
        <f>F14*G14*H14</f>
        <v>#REF!</v>
      </c>
      <c r="L14" s="251" t="e">
        <f t="shared" si="2"/>
        <v>#REF!</v>
      </c>
      <c r="M14" s="252" t="e">
        <f t="shared" si="3"/>
        <v>#REF!</v>
      </c>
      <c r="N14" s="310"/>
      <c r="O14" s="252" t="e">
        <f t="shared" si="4"/>
        <v>#REF!</v>
      </c>
      <c r="P14" s="69" t="e">
        <f t="shared" si="5"/>
        <v>#REF!</v>
      </c>
      <c r="Q14" s="69">
        <v>2549224.64</v>
      </c>
      <c r="R14" s="69" t="e">
        <f t="shared" si="6"/>
        <v>#REF!</v>
      </c>
      <c r="S14" s="69">
        <f>ROUND(7054.84*1000/12,2)</f>
        <v>587903.32999999996</v>
      </c>
      <c r="T14" s="18" t="e">
        <f>#REF!</f>
        <v>#REF!</v>
      </c>
      <c r="U14" s="100" t="e">
        <f t="shared" si="7"/>
        <v>#REF!</v>
      </c>
      <c r="V14" s="179" t="e">
        <f t="shared" si="8"/>
        <v>#REF!</v>
      </c>
      <c r="W14" s="155" t="e">
        <f t="shared" si="9"/>
        <v>#REF!</v>
      </c>
      <c r="X14" s="159"/>
      <c r="Y14" s="157" t="e">
        <f t="shared" si="10"/>
        <v>#REF!</v>
      </c>
      <c r="Z14" s="159"/>
      <c r="AA14" s="39"/>
      <c r="AB14" s="254" t="e">
        <f>R14*10/1000</f>
        <v>#REF!</v>
      </c>
      <c r="AC14" s="255">
        <f>32434.2/12*10</f>
        <v>27028.5</v>
      </c>
      <c r="AD14" s="255" t="e">
        <f t="shared" si="12"/>
        <v>#REF!</v>
      </c>
      <c r="AE14" s="42"/>
      <c r="AF14" s="42">
        <v>75242475.599999994</v>
      </c>
      <c r="AG14" s="147" t="e">
        <f t="shared" ref="AG14:AG15" si="15">AF14-T14</f>
        <v>#REF!</v>
      </c>
      <c r="AH14" s="147" t="e">
        <f>ROUND(AG14/1000,2)+0.01</f>
        <v>#REF!</v>
      </c>
      <c r="AI14" s="61"/>
      <c r="AJ14" s="147"/>
      <c r="AN14" s="176"/>
      <c r="AO14" s="176"/>
      <c r="AP14" s="176"/>
      <c r="AQ14" s="42"/>
      <c r="AS14" s="42"/>
      <c r="AT14" s="42"/>
      <c r="AU14" s="10"/>
    </row>
    <row r="15" spans="2:47" ht="43.9" customHeight="1" x14ac:dyDescent="0.3">
      <c r="B15" s="20"/>
      <c r="C15" s="223" t="s">
        <v>12</v>
      </c>
      <c r="D15" s="16" t="e">
        <f t="shared" si="14"/>
        <v>#REF!</v>
      </c>
      <c r="E15" s="67" t="e">
        <f>#REF!</f>
        <v>#REF!</v>
      </c>
      <c r="F15" s="68" t="e">
        <f>#REF!</f>
        <v>#REF!</v>
      </c>
      <c r="G15" s="253">
        <v>0.99309999999999998</v>
      </c>
      <c r="H15" s="138">
        <v>1</v>
      </c>
      <c r="I15" s="187"/>
      <c r="J15" s="187"/>
      <c r="K15" s="224" t="e">
        <f>F15*G15*H15</f>
        <v>#REF!</v>
      </c>
      <c r="L15" s="251" t="e">
        <f t="shared" si="2"/>
        <v>#REF!</v>
      </c>
      <c r="M15" s="252" t="e">
        <f t="shared" si="3"/>
        <v>#REF!</v>
      </c>
      <c r="N15" s="310"/>
      <c r="O15" s="252" t="e">
        <f t="shared" si="4"/>
        <v>#REF!</v>
      </c>
      <c r="P15" s="69" t="e">
        <f t="shared" si="5"/>
        <v>#REF!</v>
      </c>
      <c r="Q15" s="69">
        <v>4760157.8</v>
      </c>
      <c r="R15" s="69" t="e">
        <f t="shared" si="6"/>
        <v>#REF!</v>
      </c>
      <c r="S15" s="69">
        <f>ROUND(6710.12*1000/12,2)</f>
        <v>559176.67000000004</v>
      </c>
      <c r="T15" s="18" t="e">
        <f>#REF!</f>
        <v>#REF!</v>
      </c>
      <c r="U15" s="100" t="e">
        <f t="shared" si="7"/>
        <v>#REF!</v>
      </c>
      <c r="V15" s="179" t="e">
        <f t="shared" si="8"/>
        <v>#REF!</v>
      </c>
      <c r="W15" s="155" t="e">
        <f t="shared" si="9"/>
        <v>#REF!</v>
      </c>
      <c r="X15" s="159" t="e">
        <f>W15+W14+W13</f>
        <v>#REF!</v>
      </c>
      <c r="Y15" s="157" t="e">
        <f t="shared" si="10"/>
        <v>#REF!</v>
      </c>
      <c r="Z15" s="159" t="e">
        <f>Y15+Y14+Y13</f>
        <v>#REF!</v>
      </c>
      <c r="AA15" s="39"/>
      <c r="AB15" s="254" t="e">
        <f t="shared" si="11"/>
        <v>#REF!</v>
      </c>
      <c r="AC15" s="255">
        <f>40170.34/12*10</f>
        <v>33475.283333333333</v>
      </c>
      <c r="AD15" s="255" t="e">
        <f t="shared" si="12"/>
        <v>#REF!</v>
      </c>
      <c r="AE15" s="42"/>
      <c r="AF15" s="42">
        <v>110699053.68000001</v>
      </c>
      <c r="AG15" s="147" t="e">
        <f t="shared" si="15"/>
        <v>#REF!</v>
      </c>
      <c r="AH15" s="147" t="e">
        <f t="shared" si="13"/>
        <v>#REF!</v>
      </c>
      <c r="AI15" s="61"/>
      <c r="AJ15" s="147"/>
      <c r="AN15" s="176"/>
      <c r="AO15" s="176"/>
      <c r="AP15" s="176"/>
      <c r="AQ15" s="42"/>
      <c r="AS15" s="42"/>
      <c r="AT15" s="42"/>
      <c r="AU15" s="10"/>
    </row>
    <row r="16" spans="2:47" ht="43.9" customHeight="1" x14ac:dyDescent="0.3">
      <c r="AB16" s="255" t="e">
        <f>SUM(AB9:AB15)</f>
        <v>#REF!</v>
      </c>
      <c r="AC16" s="255">
        <f>SUM(AC9:AC15)</f>
        <v>229824.79166666663</v>
      </c>
      <c r="AD16" s="256"/>
      <c r="AG16" s="1"/>
      <c r="AH16" s="1"/>
      <c r="AI16" s="60"/>
      <c r="AJ16" s="147"/>
      <c r="AN16" s="176"/>
      <c r="AO16" s="176"/>
      <c r="AP16" s="176"/>
      <c r="AQ16" s="42"/>
      <c r="AS16" s="42"/>
      <c r="AT16" s="42"/>
      <c r="AU16" s="10"/>
    </row>
    <row r="17" spans="1:36" ht="30" customHeight="1" x14ac:dyDescent="0.3">
      <c r="A17" s="1">
        <v>1340011</v>
      </c>
      <c r="W17" s="40">
        <f t="shared" ref="W17" si="16">D17*E17*K17</f>
        <v>0</v>
      </c>
      <c r="X17" s="77"/>
      <c r="Y17" s="41"/>
      <c r="Z17" s="77"/>
      <c r="AA17" s="39"/>
      <c r="AB17" s="42"/>
      <c r="AC17" s="42"/>
      <c r="AD17" s="42"/>
      <c r="AE17" s="42"/>
      <c r="AH17" s="147"/>
      <c r="AI17" s="60"/>
      <c r="AJ17" s="147"/>
    </row>
    <row r="18" spans="1:36" s="10" customFormat="1" ht="58.5" customHeight="1" x14ac:dyDescent="0.3">
      <c r="B18" s="11"/>
      <c r="C18" s="12" t="s">
        <v>13</v>
      </c>
      <c r="D18" s="70"/>
      <c r="E18" s="74" t="e">
        <f>SUM(E9:E15)</f>
        <v>#REF!</v>
      </c>
      <c r="F18" s="71"/>
      <c r="G18" s="71"/>
      <c r="H18" s="75"/>
      <c r="I18" s="75"/>
      <c r="J18" s="75"/>
      <c r="K18" s="72"/>
      <c r="L18" s="72"/>
      <c r="M18" s="72"/>
      <c r="N18" s="72"/>
      <c r="O18" s="72"/>
      <c r="P18" s="231" t="e">
        <f>SUM(P9:P15)</f>
        <v>#REF!</v>
      </c>
      <c r="Q18" s="231">
        <f>SUM(Q9:Q17)</f>
        <v>26777030.830000002</v>
      </c>
      <c r="R18" s="231" t="e">
        <f>SUM(R9:R17)</f>
        <v>#REF!</v>
      </c>
      <c r="S18" s="231">
        <f>SUM(S9:S17)</f>
        <v>5381350.8300000001</v>
      </c>
      <c r="T18" s="19" t="e">
        <f>SUM(T9:T17)</f>
        <v>#REF!</v>
      </c>
      <c r="U18" s="66" t="e">
        <f>SUM(U9:U15)</f>
        <v>#REF!</v>
      </c>
      <c r="V18" s="180" t="e">
        <f>SUM(V9:V17)</f>
        <v>#REF!</v>
      </c>
      <c r="W18" s="48">
        <f>SUM(W17:W17)</f>
        <v>0</v>
      </c>
      <c r="Y18" s="48"/>
      <c r="AB18" s="42"/>
      <c r="AC18" s="42"/>
      <c r="AD18" s="42"/>
      <c r="AE18" s="42"/>
      <c r="AG18" s="145"/>
      <c r="AH18" s="147"/>
      <c r="AI18" s="148"/>
      <c r="AJ18" s="147"/>
    </row>
    <row r="19" spans="1:36" ht="42.75" customHeight="1" x14ac:dyDescent="0.3">
      <c r="B19" s="21"/>
      <c r="C19" s="21"/>
      <c r="D19" s="151">
        <f>ROUND((D21+D22+D23+D24)*1000,2)</f>
        <v>551408626.60000002</v>
      </c>
      <c r="E19" s="56" t="e">
        <f>#REF!</f>
        <v>#REF!</v>
      </c>
      <c r="F19" s="21"/>
      <c r="G19" s="21"/>
      <c r="H19" s="76"/>
      <c r="I19" s="76"/>
      <c r="J19" s="76"/>
      <c r="K19" s="14"/>
      <c r="L19" s="14"/>
      <c r="M19" s="14"/>
      <c r="N19" s="14"/>
      <c r="O19" s="14"/>
      <c r="P19" s="232">
        <f>D19/10</f>
        <v>55140862.660000004</v>
      </c>
      <c r="Q19" s="232">
        <f>(D21+D22)*1000/10</f>
        <v>26777030.829999998</v>
      </c>
      <c r="R19" s="232">
        <f>D24*1000/10</f>
        <v>22982481</v>
      </c>
      <c r="S19" s="232">
        <f>D23*1000/10</f>
        <v>5381350.8300000001</v>
      </c>
      <c r="T19" s="25"/>
      <c r="U19" s="15">
        <f>D19/10</f>
        <v>55140862.660000004</v>
      </c>
      <c r="V19" s="15"/>
      <c r="W19" s="99"/>
    </row>
    <row r="20" spans="1:36" ht="18.75" customHeight="1" x14ac:dyDescent="0.3">
      <c r="B20" s="26"/>
      <c r="C20" s="26"/>
      <c r="D20" s="228">
        <f>D19/10-U19</f>
        <v>0</v>
      </c>
      <c r="E20" s="225" t="e">
        <f>E19-E18</f>
        <v>#REF!</v>
      </c>
      <c r="F20" s="28"/>
      <c r="G20" s="21"/>
      <c r="H20" s="21"/>
      <c r="I20" s="21"/>
      <c r="J20" s="21"/>
      <c r="P20" s="17" t="e">
        <f>P19-P18</f>
        <v>#REF!</v>
      </c>
      <c r="Q20" s="17">
        <f>Q19-Q18</f>
        <v>0</v>
      </c>
      <c r="R20" s="17" t="e">
        <f>R19-R18</f>
        <v>#REF!</v>
      </c>
      <c r="S20" s="17">
        <f>S19-S18</f>
        <v>0</v>
      </c>
      <c r="T20" s="17"/>
      <c r="U20" s="15"/>
      <c r="V20" s="15"/>
    </row>
    <row r="21" spans="1:36" ht="44.25" customHeight="1" x14ac:dyDescent="0.3">
      <c r="C21" s="1" t="s">
        <v>146</v>
      </c>
      <c r="D21" s="151">
        <f>ROUND(E21/12*10,4)</f>
        <v>61031.1</v>
      </c>
      <c r="E21" s="1">
        <v>73237.320000000007</v>
      </c>
      <c r="H21" s="21"/>
      <c r="I21" s="21"/>
      <c r="J21" s="21"/>
      <c r="T21" s="1" t="e">
        <f>T19/#REF!</f>
        <v>#REF!</v>
      </c>
      <c r="U21" s="15"/>
      <c r="V21" s="15"/>
    </row>
    <row r="22" spans="1:36" ht="26.25" customHeight="1" x14ac:dyDescent="0.3">
      <c r="C22" s="1" t="s">
        <v>147</v>
      </c>
      <c r="D22" s="151">
        <f>ROUND(E22/12*10,4)</f>
        <v>206739.2083</v>
      </c>
      <c r="E22" s="1">
        <v>248087.05</v>
      </c>
      <c r="H22" s="21"/>
      <c r="I22" s="21"/>
      <c r="J22" s="21"/>
      <c r="U22" s="15"/>
      <c r="V22" s="15"/>
    </row>
    <row r="23" spans="1:36" ht="24" customHeight="1" x14ac:dyDescent="0.3">
      <c r="C23" s="1" t="s">
        <v>135</v>
      </c>
      <c r="D23" s="151">
        <f>ROUND(E23/12*10,4)</f>
        <v>53813.508300000001</v>
      </c>
      <c r="E23" s="1">
        <v>64576.210000000006</v>
      </c>
      <c r="H23" s="222"/>
      <c r="I23" s="21"/>
      <c r="J23" s="21"/>
      <c r="T23" s="1" t="e">
        <f>T21/12</f>
        <v>#REF!</v>
      </c>
    </row>
    <row r="24" spans="1:36" ht="19.5" customHeight="1" x14ac:dyDescent="0.3">
      <c r="C24" s="1" t="s">
        <v>134</v>
      </c>
      <c r="D24" s="151">
        <v>229824.81</v>
      </c>
      <c r="H24" s="222"/>
      <c r="I24" s="21"/>
      <c r="J24" s="21"/>
    </row>
    <row r="25" spans="1:36" ht="19.5" customHeight="1" x14ac:dyDescent="0.3">
      <c r="D25" s="151"/>
      <c r="H25" s="21"/>
      <c r="I25" s="21"/>
      <c r="J25" s="21"/>
    </row>
    <row r="26" spans="1:36" ht="19.5" customHeight="1" x14ac:dyDescent="0.3">
      <c r="D26" s="151"/>
      <c r="H26" s="21"/>
      <c r="I26" s="21"/>
      <c r="J26" s="21"/>
    </row>
    <row r="27" spans="1:36" ht="19.5" customHeight="1" x14ac:dyDescent="0.3">
      <c r="H27" s="21"/>
      <c r="I27" s="21"/>
      <c r="J27" s="21"/>
    </row>
    <row r="28" spans="1:36" ht="19.5" customHeight="1" x14ac:dyDescent="0.3">
      <c r="H28" s="21"/>
      <c r="I28" s="21"/>
      <c r="J28" s="21"/>
    </row>
    <row r="29" spans="1:36" ht="19.5" customHeight="1" x14ac:dyDescent="0.3">
      <c r="H29" s="21"/>
      <c r="I29" s="21"/>
      <c r="J29" s="21"/>
    </row>
    <row r="30" spans="1:36" ht="19.5" customHeight="1" x14ac:dyDescent="0.3">
      <c r="H30" s="21"/>
      <c r="I30" s="21"/>
      <c r="J30" s="21"/>
    </row>
    <row r="31" spans="1:36" ht="19.5" customHeight="1" x14ac:dyDescent="0.3">
      <c r="H31" s="21"/>
      <c r="I31" s="21"/>
      <c r="J31" s="21"/>
    </row>
    <row r="32" spans="1:36" ht="19.5" customHeight="1" x14ac:dyDescent="0.3">
      <c r="H32" s="21"/>
      <c r="I32" s="21"/>
      <c r="J32" s="21"/>
    </row>
    <row r="33" spans="8:22" ht="19.5" customHeight="1" x14ac:dyDescent="0.3"/>
    <row r="43" spans="8:22" x14ac:dyDescent="0.3">
      <c r="H43" s="134"/>
      <c r="I43" s="134"/>
      <c r="J43" s="138"/>
      <c r="K43" s="150"/>
      <c r="L43" s="101"/>
      <c r="P43" s="103"/>
      <c r="Q43" s="103"/>
      <c r="R43" s="103"/>
      <c r="S43" s="103"/>
      <c r="T43" s="18"/>
      <c r="U43" s="100"/>
      <c r="V43" s="112"/>
    </row>
  </sheetData>
  <autoFilter ref="A8:U17"/>
  <mergeCells count="26">
    <mergeCell ref="C1:T1"/>
    <mergeCell ref="C2:T2"/>
    <mergeCell ref="C3:T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H6"/>
    <mergeCell ref="K5:K6"/>
    <mergeCell ref="L5:L6"/>
    <mergeCell ref="W7:X7"/>
    <mergeCell ref="AN7:AO7"/>
    <mergeCell ref="U4:U6"/>
    <mergeCell ref="N9:N15"/>
    <mergeCell ref="O4:O6"/>
    <mergeCell ref="P4:P6"/>
    <mergeCell ref="Q4:S4"/>
    <mergeCell ref="T4:T6"/>
    <mergeCell ref="Q5:Q6"/>
    <mergeCell ref="R5:R6"/>
    <mergeCell ref="S5:S6"/>
  </mergeCells>
  <pageMargins left="0.23622047244094491" right="0.15748031496062992" top="0.15748031496062992" bottom="0.19685039370078741" header="0.15748031496062992" footer="0.15748031496062992"/>
  <pageSetup paperSize="9" scale="40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25"/>
  <sheetViews>
    <sheetView tabSelected="1" view="pageBreakPreview" topLeftCell="B1" zoomScale="50" zoomScaleNormal="53" zoomScaleSheetLayoutView="50" workbookViewId="0">
      <selection activeCell="T20" sqref="T20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3.7109375" style="1" customWidth="1"/>
    <col min="5" max="5" width="22.7109375" style="1" customWidth="1"/>
    <col min="6" max="6" width="13" style="1" customWidth="1"/>
    <col min="7" max="8" width="19.28515625" style="1" customWidth="1"/>
    <col min="9" max="9" width="24.5703125" style="1" customWidth="1"/>
    <col min="10" max="11" width="17.7109375" style="1" customWidth="1"/>
    <col min="12" max="12" width="18.5703125" style="1" customWidth="1"/>
    <col min="13" max="13" width="22.5703125" style="1" customWidth="1"/>
    <col min="14" max="14" width="19.85546875" style="1" customWidth="1"/>
    <col min="15" max="15" width="19.7109375" style="1" customWidth="1"/>
    <col min="16" max="16" width="19.85546875" style="1" customWidth="1"/>
    <col min="17" max="17" width="28.42578125" style="1" customWidth="1"/>
    <col min="18" max="18" width="17.140625" style="1" customWidth="1"/>
    <col min="19" max="23" width="23.7109375" style="1" customWidth="1"/>
    <col min="24" max="31" width="9.140625" style="1"/>
    <col min="32" max="32" width="18.140625" style="1" bestFit="1" customWidth="1"/>
    <col min="33" max="16384" width="9.140625" style="1"/>
  </cols>
  <sheetData>
    <row r="1" spans="2:32" ht="20.25" x14ac:dyDescent="0.3">
      <c r="O1" s="348" t="s">
        <v>164</v>
      </c>
      <c r="P1" s="348"/>
      <c r="Q1" s="348"/>
    </row>
    <row r="2" spans="2:32" ht="20.25" x14ac:dyDescent="0.3">
      <c r="O2" s="348" t="s">
        <v>167</v>
      </c>
      <c r="P2" s="348"/>
      <c r="Q2" s="348"/>
    </row>
    <row r="3" spans="2:32" ht="20.25" x14ac:dyDescent="0.3">
      <c r="O3" s="348" t="s">
        <v>168</v>
      </c>
      <c r="P3" s="348"/>
      <c r="Q3" s="348"/>
    </row>
    <row r="5" spans="2:32" ht="50.25" customHeight="1" x14ac:dyDescent="0.3">
      <c r="C5" s="340" t="s">
        <v>165</v>
      </c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</row>
    <row r="6" spans="2:32" ht="22.5" customHeight="1" x14ac:dyDescent="0.3">
      <c r="C6" s="341" t="s">
        <v>155</v>
      </c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Q6" s="341"/>
    </row>
    <row r="7" spans="2:32" ht="20.25" customHeight="1" x14ac:dyDescent="0.3"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</row>
    <row r="8" spans="2:32" s="3" customFormat="1" ht="43.9" customHeight="1" x14ac:dyDescent="0.3">
      <c r="B8" s="287" t="s">
        <v>7</v>
      </c>
      <c r="C8" s="287" t="s">
        <v>8</v>
      </c>
      <c r="D8" s="343" t="s">
        <v>138</v>
      </c>
      <c r="E8" s="288" t="s">
        <v>162</v>
      </c>
      <c r="F8" s="291" t="s">
        <v>10</v>
      </c>
      <c r="G8" s="292"/>
      <c r="H8" s="292"/>
      <c r="I8" s="292"/>
      <c r="J8" s="332" t="s">
        <v>139</v>
      </c>
      <c r="K8" s="293" t="s">
        <v>42</v>
      </c>
      <c r="L8" s="332" t="s">
        <v>140</v>
      </c>
      <c r="M8" s="297" t="s">
        <v>166</v>
      </c>
      <c r="N8" s="335" t="s">
        <v>128</v>
      </c>
      <c r="O8" s="336"/>
      <c r="P8" s="337"/>
      <c r="Q8" s="297" t="s">
        <v>154</v>
      </c>
    </row>
    <row r="9" spans="2:32" s="4" customFormat="1" ht="69" customHeight="1" x14ac:dyDescent="0.3">
      <c r="B9" s="287"/>
      <c r="C9" s="287"/>
      <c r="D9" s="344"/>
      <c r="E9" s="289"/>
      <c r="F9" s="293" t="s">
        <v>11</v>
      </c>
      <c r="G9" s="293" t="s">
        <v>160</v>
      </c>
      <c r="H9" s="346" t="s">
        <v>158</v>
      </c>
      <c r="I9" s="297" t="s">
        <v>36</v>
      </c>
      <c r="J9" s="333"/>
      <c r="K9" s="294"/>
      <c r="L9" s="333"/>
      <c r="M9" s="312"/>
      <c r="N9" s="338" t="s">
        <v>122</v>
      </c>
      <c r="O9" s="338" t="s">
        <v>129</v>
      </c>
      <c r="P9" s="338" t="s">
        <v>130</v>
      </c>
      <c r="Q9" s="312"/>
    </row>
    <row r="10" spans="2:32" s="4" customFormat="1" ht="256.5" customHeight="1" x14ac:dyDescent="0.3">
      <c r="B10" s="287"/>
      <c r="C10" s="287"/>
      <c r="D10" s="345"/>
      <c r="E10" s="290"/>
      <c r="F10" s="295"/>
      <c r="G10" s="295"/>
      <c r="H10" s="347"/>
      <c r="I10" s="298"/>
      <c r="J10" s="334"/>
      <c r="K10" s="295"/>
      <c r="L10" s="334"/>
      <c r="M10" s="298"/>
      <c r="N10" s="339"/>
      <c r="O10" s="339"/>
      <c r="P10" s="339"/>
      <c r="Q10" s="298"/>
    </row>
    <row r="11" spans="2:32" s="5" customFormat="1" ht="42.75" customHeight="1" x14ac:dyDescent="0.3">
      <c r="B11" s="287"/>
      <c r="C11" s="287"/>
      <c r="D11" s="22" t="s">
        <v>31</v>
      </c>
      <c r="E11" s="186" t="s">
        <v>32</v>
      </c>
      <c r="F11" s="257" t="s">
        <v>156</v>
      </c>
      <c r="G11" s="258" t="s">
        <v>157</v>
      </c>
      <c r="H11" s="259" t="s">
        <v>159</v>
      </c>
      <c r="I11" s="7" t="s">
        <v>14</v>
      </c>
      <c r="J11" s="7" t="s">
        <v>40</v>
      </c>
      <c r="K11" s="7" t="s">
        <v>41</v>
      </c>
      <c r="L11" s="7" t="s">
        <v>51</v>
      </c>
      <c r="M11" s="7" t="s">
        <v>54</v>
      </c>
      <c r="N11" s="220" t="s">
        <v>131</v>
      </c>
      <c r="O11" s="220" t="s">
        <v>132</v>
      </c>
      <c r="P11" s="220" t="s">
        <v>133</v>
      </c>
      <c r="Q11" s="7" t="s">
        <v>30</v>
      </c>
    </row>
    <row r="12" spans="2:32" s="5" customFormat="1" ht="26.25" customHeight="1" x14ac:dyDescent="0.3">
      <c r="B12" s="185">
        <v>1</v>
      </c>
      <c r="C12" s="185">
        <v>2</v>
      </c>
      <c r="D12" s="186">
        <v>3</v>
      </c>
      <c r="E12" s="186">
        <v>4</v>
      </c>
      <c r="F12" s="184">
        <v>5</v>
      </c>
      <c r="G12" s="184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221">
        <v>13</v>
      </c>
      <c r="O12" s="221">
        <v>14</v>
      </c>
      <c r="P12" s="221">
        <v>15</v>
      </c>
      <c r="Q12" s="6">
        <v>16</v>
      </c>
    </row>
    <row r="13" spans="2:32" s="5" customFormat="1" ht="48.75" customHeight="1" x14ac:dyDescent="0.3">
      <c r="B13" s="260"/>
      <c r="C13" s="262" t="s">
        <v>22</v>
      </c>
      <c r="D13" s="263">
        <v>927.66951395523847</v>
      </c>
      <c r="E13" s="266">
        <v>19838</v>
      </c>
      <c r="F13" s="264">
        <v>1.217155</v>
      </c>
      <c r="G13" s="265">
        <v>0.54244999999999999</v>
      </c>
      <c r="H13" s="274">
        <v>1</v>
      </c>
      <c r="I13" s="268">
        <v>0.66024572974999995</v>
      </c>
      <c r="J13" s="269">
        <v>612.48983520820423</v>
      </c>
      <c r="K13" s="349">
        <v>0.99999899999999997</v>
      </c>
      <c r="L13" s="268">
        <v>612.49035117260166</v>
      </c>
      <c r="M13" s="270">
        <v>12150583.59</v>
      </c>
      <c r="N13" s="270">
        <v>10500583.59</v>
      </c>
      <c r="O13" s="270">
        <v>1500000</v>
      </c>
      <c r="P13" s="270">
        <v>150000</v>
      </c>
      <c r="Q13" s="270">
        <v>266997099.43000004</v>
      </c>
      <c r="R13" s="126"/>
      <c r="S13" s="126"/>
      <c r="T13" s="126"/>
      <c r="U13" s="126"/>
      <c r="V13" s="126"/>
      <c r="W13" s="126"/>
      <c r="Y13" s="126"/>
      <c r="Z13" s="126"/>
      <c r="AA13" s="126"/>
      <c r="AB13" s="126"/>
      <c r="AC13" s="126"/>
      <c r="AD13" s="126"/>
      <c r="AE13" s="126"/>
      <c r="AF13" s="126"/>
    </row>
    <row r="14" spans="2:32" s="5" customFormat="1" ht="48.75" customHeight="1" x14ac:dyDescent="0.3">
      <c r="B14" s="275"/>
      <c r="C14" s="262" t="s">
        <v>163</v>
      </c>
      <c r="D14" s="263">
        <v>927.66951395523847</v>
      </c>
      <c r="E14" s="266">
        <v>48284</v>
      </c>
      <c r="F14" s="264">
        <v>1.4841660000000001</v>
      </c>
      <c r="G14" s="265">
        <v>0.69273899999999999</v>
      </c>
      <c r="H14" s="274">
        <v>1</v>
      </c>
      <c r="I14" s="268">
        <v>1.028139670674</v>
      </c>
      <c r="J14" s="269">
        <v>953.77382857224859</v>
      </c>
      <c r="K14" s="350"/>
      <c r="L14" s="268">
        <v>953.77463203593152</v>
      </c>
      <c r="M14" s="270">
        <v>46052054.329999998</v>
      </c>
      <c r="N14" s="270">
        <v>4384706.5900000082</v>
      </c>
      <c r="O14" s="270">
        <v>38511723.75999999</v>
      </c>
      <c r="P14" s="270">
        <v>3155623.9799999995</v>
      </c>
      <c r="Q14" s="270">
        <v>99723409.860000014</v>
      </c>
      <c r="R14" s="126"/>
      <c r="S14" s="126"/>
      <c r="T14" s="126"/>
      <c r="U14" s="126"/>
      <c r="V14" s="126"/>
      <c r="W14" s="126"/>
      <c r="Y14" s="126"/>
      <c r="Z14" s="126"/>
      <c r="AA14" s="126"/>
      <c r="AB14" s="126"/>
      <c r="AC14" s="126"/>
      <c r="AD14" s="126"/>
      <c r="AE14" s="126"/>
      <c r="AF14" s="126"/>
    </row>
    <row r="15" spans="2:32" s="5" customFormat="1" ht="48.75" customHeight="1" x14ac:dyDescent="0.3">
      <c r="B15" s="261"/>
      <c r="C15" s="262" t="s">
        <v>23</v>
      </c>
      <c r="D15" s="263">
        <v>927.66951395523847</v>
      </c>
      <c r="E15" s="266">
        <v>73509</v>
      </c>
      <c r="F15" s="264">
        <v>1.1077399999999999</v>
      </c>
      <c r="G15" s="265">
        <v>0.59743999999999997</v>
      </c>
      <c r="H15" s="274">
        <v>1</v>
      </c>
      <c r="I15" s="268">
        <v>0.66180818559999999</v>
      </c>
      <c r="J15" s="269">
        <v>613.93927786715028</v>
      </c>
      <c r="K15" s="350"/>
      <c r="L15" s="268">
        <v>613.93979505256516</v>
      </c>
      <c r="M15" s="270">
        <v>45130100.399999999</v>
      </c>
      <c r="N15" s="270">
        <v>35331966.369999997</v>
      </c>
      <c r="O15" s="270">
        <v>0</v>
      </c>
      <c r="P15" s="270">
        <v>9798134.0300000012</v>
      </c>
      <c r="Q15" s="270">
        <v>414558006.63999999</v>
      </c>
      <c r="R15" s="126"/>
      <c r="S15" s="126"/>
      <c r="T15" s="126"/>
      <c r="U15" s="126"/>
      <c r="V15" s="126"/>
      <c r="W15" s="126"/>
      <c r="Y15" s="126"/>
      <c r="Z15" s="126"/>
      <c r="AA15" s="126"/>
      <c r="AB15" s="126"/>
      <c r="AC15" s="126"/>
    </row>
    <row r="16" spans="2:32" s="5" customFormat="1" ht="45" customHeight="1" x14ac:dyDescent="0.3">
      <c r="B16" s="260"/>
      <c r="C16" s="262" t="s">
        <v>161</v>
      </c>
      <c r="D16" s="263">
        <v>927.66951395523847</v>
      </c>
      <c r="E16" s="266">
        <v>3285</v>
      </c>
      <c r="F16" s="264">
        <v>1.09873</v>
      </c>
      <c r="G16" s="265">
        <v>0.92027000000000003</v>
      </c>
      <c r="H16" s="274">
        <v>1.113</v>
      </c>
      <c r="I16" s="268">
        <v>1.1253857501522999</v>
      </c>
      <c r="J16" s="269">
        <v>1043.9860518559356</v>
      </c>
      <c r="K16" s="350"/>
      <c r="L16" s="268">
        <v>1043.9869313148313</v>
      </c>
      <c r="M16" s="270">
        <v>3429497.07</v>
      </c>
      <c r="N16" s="270">
        <v>2731281.44</v>
      </c>
      <c r="O16" s="270">
        <v>423198.50999999978</v>
      </c>
      <c r="P16" s="270">
        <v>275017.12000000011</v>
      </c>
      <c r="Q16" s="270">
        <v>30783417.899999999</v>
      </c>
      <c r="R16" s="126"/>
      <c r="S16" s="126"/>
      <c r="T16" s="126"/>
      <c r="U16" s="126"/>
      <c r="V16" s="126"/>
      <c r="W16" s="126"/>
      <c r="Y16" s="126"/>
      <c r="Z16" s="126"/>
      <c r="AA16" s="126"/>
      <c r="AB16" s="126"/>
      <c r="AC16" s="126"/>
    </row>
    <row r="17" spans="2:29" ht="41.25" customHeight="1" x14ac:dyDescent="0.3">
      <c r="B17" s="20"/>
      <c r="C17" s="9" t="s">
        <v>1</v>
      </c>
      <c r="D17" s="263">
        <v>927.66951395523847</v>
      </c>
      <c r="E17" s="271">
        <v>8631</v>
      </c>
      <c r="F17" s="269">
        <v>0.96472000000000002</v>
      </c>
      <c r="G17" s="272">
        <v>0.59443999999999997</v>
      </c>
      <c r="H17" s="269">
        <v>1.113</v>
      </c>
      <c r="I17" s="268">
        <v>0.63827005851839991</v>
      </c>
      <c r="J17" s="269">
        <v>592.10367495794571</v>
      </c>
      <c r="K17" s="350"/>
      <c r="L17" s="268">
        <v>592.10417374894314</v>
      </c>
      <c r="M17" s="270">
        <v>5110451.12</v>
      </c>
      <c r="N17" s="270">
        <v>3810451.12</v>
      </c>
      <c r="O17" s="270">
        <v>1000000</v>
      </c>
      <c r="P17" s="270">
        <v>300000</v>
      </c>
      <c r="Q17" s="270">
        <v>139073010.78999999</v>
      </c>
      <c r="R17" s="126"/>
      <c r="S17" s="126"/>
      <c r="T17" s="126"/>
      <c r="U17" s="126"/>
      <c r="V17" s="42"/>
      <c r="W17" s="42"/>
      <c r="Y17" s="126"/>
      <c r="Z17" s="126"/>
      <c r="AA17" s="126"/>
      <c r="AB17" s="126"/>
      <c r="AC17" s="126"/>
    </row>
    <row r="18" spans="2:29" ht="43.9" customHeight="1" x14ac:dyDescent="0.3">
      <c r="B18" s="20"/>
      <c r="C18" s="9" t="s">
        <v>50</v>
      </c>
      <c r="D18" s="263">
        <v>927.66951395523847</v>
      </c>
      <c r="E18" s="271">
        <v>6933</v>
      </c>
      <c r="F18" s="269">
        <v>1.2486999999999999</v>
      </c>
      <c r="G18" s="272">
        <v>1.38974</v>
      </c>
      <c r="H18" s="269">
        <v>1.113</v>
      </c>
      <c r="I18" s="268">
        <v>1.9314649601939997</v>
      </c>
      <c r="J18" s="269">
        <v>1791.7611608447417</v>
      </c>
      <c r="K18" s="350"/>
      <c r="L18" s="268">
        <v>1791.7626702330033</v>
      </c>
      <c r="M18" s="270">
        <v>12422290.59</v>
      </c>
      <c r="N18" s="270">
        <v>6145427.1199999955</v>
      </c>
      <c r="O18" s="270">
        <v>5382305.8400000036</v>
      </c>
      <c r="P18" s="270">
        <v>894557.63000000082</v>
      </c>
      <c r="Q18" s="270">
        <v>145899954.78</v>
      </c>
      <c r="R18" s="126"/>
      <c r="S18" s="126"/>
      <c r="T18" s="126"/>
      <c r="U18" s="126"/>
      <c r="V18" s="42"/>
      <c r="W18" s="42"/>
      <c r="Y18" s="126"/>
      <c r="Z18" s="126"/>
      <c r="AA18" s="126"/>
      <c r="AB18" s="126"/>
      <c r="AC18" s="126"/>
    </row>
    <row r="19" spans="2:29" ht="43.9" customHeight="1" x14ac:dyDescent="0.3">
      <c r="B19" s="20"/>
      <c r="C19" s="9" t="s">
        <v>4</v>
      </c>
      <c r="D19" s="263">
        <v>927.66951395523847</v>
      </c>
      <c r="E19" s="271">
        <v>2500</v>
      </c>
      <c r="F19" s="269">
        <v>1.19902</v>
      </c>
      <c r="G19" s="272">
        <v>1.9170700000000001</v>
      </c>
      <c r="H19" s="269">
        <v>1.113</v>
      </c>
      <c r="I19" s="268">
        <v>2.5583476670682002</v>
      </c>
      <c r="J19" s="269">
        <v>2373.3011368376756</v>
      </c>
      <c r="K19" s="350"/>
      <c r="L19" s="268">
        <v>2373.3031361180238</v>
      </c>
      <c r="M19" s="270">
        <v>5933257.8399999999</v>
      </c>
      <c r="N19" s="270">
        <v>3566021.4999999981</v>
      </c>
      <c r="O19" s="270">
        <v>1423306.1000000015</v>
      </c>
      <c r="P19" s="270">
        <v>943930.24000000022</v>
      </c>
      <c r="Q19" s="270">
        <v>72245068.039999992</v>
      </c>
      <c r="R19" s="126"/>
      <c r="S19" s="126"/>
      <c r="T19" s="126"/>
      <c r="U19" s="126"/>
      <c r="V19" s="42"/>
      <c r="W19" s="42"/>
      <c r="Y19" s="126"/>
      <c r="Z19" s="126"/>
      <c r="AA19" s="126"/>
      <c r="AB19" s="126"/>
      <c r="AC19" s="126"/>
    </row>
    <row r="20" spans="2:29" ht="43.9" customHeight="1" x14ac:dyDescent="0.3">
      <c r="B20" s="20"/>
      <c r="C20" s="9" t="s">
        <v>3</v>
      </c>
      <c r="D20" s="263">
        <v>927.66951395523847</v>
      </c>
      <c r="E20" s="273">
        <v>8254</v>
      </c>
      <c r="F20" s="269">
        <v>1.1561999999999999</v>
      </c>
      <c r="G20" s="272">
        <v>1.64788</v>
      </c>
      <c r="H20" s="269">
        <v>1.113</v>
      </c>
      <c r="I20" s="268">
        <v>2.1205753667279996</v>
      </c>
      <c r="J20" s="269">
        <v>1967.193119758015</v>
      </c>
      <c r="K20" s="350"/>
      <c r="L20" s="268">
        <v>1967.1947769310068</v>
      </c>
      <c r="M20" s="270">
        <v>16237225.689999999</v>
      </c>
      <c r="N20" s="270">
        <v>12174783.789999997</v>
      </c>
      <c r="O20" s="270">
        <v>1803782.950000003</v>
      </c>
      <c r="P20" s="270">
        <v>2258658.9499999993</v>
      </c>
      <c r="Q20" s="270">
        <v>228117507.62</v>
      </c>
      <c r="R20" s="126"/>
      <c r="S20" s="126"/>
      <c r="T20" s="126"/>
      <c r="U20" s="126"/>
      <c r="V20" s="42"/>
      <c r="W20" s="42"/>
      <c r="Y20" s="126"/>
      <c r="Z20" s="126"/>
      <c r="AA20" s="126"/>
      <c r="AB20" s="126"/>
      <c r="AC20" s="126"/>
    </row>
    <row r="21" spans="2:29" ht="43.9" customHeight="1" x14ac:dyDescent="0.3">
      <c r="B21" s="20"/>
      <c r="C21" s="223" t="s">
        <v>5</v>
      </c>
      <c r="D21" s="263">
        <v>927.66951395523847</v>
      </c>
      <c r="E21" s="273">
        <v>3767</v>
      </c>
      <c r="F21" s="269">
        <v>1.2484900000000001</v>
      </c>
      <c r="G21" s="272">
        <v>1.4909699999999999</v>
      </c>
      <c r="H21" s="269">
        <v>1.113</v>
      </c>
      <c r="I21" s="268">
        <v>2.0718062435889002</v>
      </c>
      <c r="J21" s="269">
        <v>1921.9514909995435</v>
      </c>
      <c r="K21" s="350"/>
      <c r="L21" s="268">
        <v>1921.9531100607685</v>
      </c>
      <c r="M21" s="270">
        <v>7239997.3700000001</v>
      </c>
      <c r="N21" s="270">
        <v>4922286.7200000035</v>
      </c>
      <c r="O21" s="270">
        <v>1670445.4799999967</v>
      </c>
      <c r="P21" s="270">
        <v>647265.16999999993</v>
      </c>
      <c r="Q21" s="270">
        <v>86656207.840000004</v>
      </c>
      <c r="R21" s="126"/>
      <c r="S21" s="126"/>
      <c r="T21" s="126"/>
      <c r="U21" s="126"/>
      <c r="V21" s="42"/>
      <c r="W21" s="42"/>
      <c r="Y21" s="126"/>
      <c r="Z21" s="126"/>
      <c r="AA21" s="126"/>
      <c r="AB21" s="126"/>
      <c r="AC21" s="126"/>
    </row>
    <row r="22" spans="2:29" ht="43.9" customHeight="1" x14ac:dyDescent="0.3">
      <c r="B22" s="20"/>
      <c r="C22" s="9" t="s">
        <v>6</v>
      </c>
      <c r="D22" s="263">
        <v>927.66951395523847</v>
      </c>
      <c r="E22" s="273">
        <v>4886</v>
      </c>
      <c r="F22" s="269">
        <v>1.05907</v>
      </c>
      <c r="G22" s="272">
        <v>1.4259599999999999</v>
      </c>
      <c r="H22" s="269">
        <v>1.113</v>
      </c>
      <c r="I22" s="268">
        <v>1.6808430918635999</v>
      </c>
      <c r="J22" s="269">
        <v>1559.2668940641261</v>
      </c>
      <c r="K22" s="350"/>
      <c r="L22" s="268">
        <v>1559.2682075980938</v>
      </c>
      <c r="M22" s="270">
        <v>7618584.46</v>
      </c>
      <c r="N22" s="270">
        <v>5865108.46</v>
      </c>
      <c r="O22" s="270">
        <v>1113608</v>
      </c>
      <c r="P22" s="270">
        <v>639868</v>
      </c>
      <c r="Q22" s="270">
        <v>107685985.41000001</v>
      </c>
      <c r="R22" s="126"/>
      <c r="S22" s="126"/>
      <c r="T22" s="126"/>
      <c r="U22" s="126"/>
      <c r="V22" s="42"/>
      <c r="W22" s="42"/>
      <c r="Y22" s="126"/>
      <c r="Z22" s="126"/>
      <c r="AA22" s="126"/>
      <c r="AB22" s="126"/>
      <c r="AC22" s="126"/>
    </row>
    <row r="23" spans="2:29" ht="43.9" customHeight="1" x14ac:dyDescent="0.3">
      <c r="B23" s="20"/>
      <c r="C23" s="223" t="s">
        <v>12</v>
      </c>
      <c r="D23" s="263">
        <v>927.66951395523847</v>
      </c>
      <c r="E23" s="273">
        <v>7462</v>
      </c>
      <c r="F23" s="269">
        <v>1.1035299999999999</v>
      </c>
      <c r="G23" s="272">
        <v>1.46715</v>
      </c>
      <c r="H23" s="269">
        <v>1.113</v>
      </c>
      <c r="I23" s="268">
        <v>1.8019960159634998</v>
      </c>
      <c r="J23" s="269">
        <v>1671.656768278136</v>
      </c>
      <c r="K23" s="351"/>
      <c r="L23" s="268">
        <v>1671.658176489877</v>
      </c>
      <c r="M23" s="270">
        <v>12473913.310000001</v>
      </c>
      <c r="N23" s="270">
        <v>8213371.5600000033</v>
      </c>
      <c r="O23" s="270">
        <v>3491256.8699999973</v>
      </c>
      <c r="P23" s="270">
        <v>769284.87999999989</v>
      </c>
      <c r="Q23" s="270">
        <v>160939405.09999999</v>
      </c>
      <c r="R23" s="126"/>
      <c r="S23" s="126"/>
      <c r="T23" s="126"/>
      <c r="U23" s="126"/>
      <c r="V23" s="42"/>
      <c r="W23" s="42"/>
      <c r="Y23" s="126"/>
      <c r="Z23" s="126"/>
      <c r="AA23" s="126"/>
      <c r="AB23" s="126"/>
      <c r="AC23" s="126"/>
    </row>
    <row r="24" spans="2:29" x14ac:dyDescent="0.3">
      <c r="E24" s="267"/>
      <c r="Y24" s="126"/>
      <c r="Z24" s="126"/>
      <c r="AA24" s="126"/>
      <c r="AB24" s="126"/>
      <c r="AC24" s="126"/>
    </row>
    <row r="25" spans="2:29" x14ac:dyDescent="0.3">
      <c r="Q25" s="42"/>
    </row>
  </sheetData>
  <autoFilter ref="A12:Q23"/>
  <mergeCells count="25">
    <mergeCell ref="K13:K23"/>
    <mergeCell ref="C5:Q5"/>
    <mergeCell ref="N8:P8"/>
    <mergeCell ref="N9:N10"/>
    <mergeCell ref="C7:Q7"/>
    <mergeCell ref="J8:J10"/>
    <mergeCell ref="C6:Q6"/>
    <mergeCell ref="K8:K10"/>
    <mergeCell ref="M8:M10"/>
    <mergeCell ref="Q8:Q10"/>
    <mergeCell ref="P9:P10"/>
    <mergeCell ref="L8:L10"/>
    <mergeCell ref="O9:O10"/>
    <mergeCell ref="O1:Q1"/>
    <mergeCell ref="O2:Q2"/>
    <mergeCell ref="O3:Q3"/>
    <mergeCell ref="B8:B11"/>
    <mergeCell ref="C8:C11"/>
    <mergeCell ref="F8:I8"/>
    <mergeCell ref="E8:E10"/>
    <mergeCell ref="F9:F10"/>
    <mergeCell ref="G9:G10"/>
    <mergeCell ref="I9:I10"/>
    <mergeCell ref="D8:D10"/>
    <mergeCell ref="H9:H10"/>
  </mergeCells>
  <pageMargins left="0.23622047244094491" right="0.15748031496062992" top="0.15748031496062992" bottom="0.19685039370078741" header="0.15748031496062992" footer="0.15748031496062992"/>
  <pageSetup paperSize="9" scale="4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2" t="s">
        <v>45</v>
      </c>
      <c r="D1" s="352"/>
      <c r="E1" s="352"/>
      <c r="F1" s="352"/>
      <c r="G1" s="352"/>
      <c r="H1" s="352"/>
      <c r="I1" s="352"/>
      <c r="J1" s="115"/>
      <c r="K1" s="115"/>
    </row>
    <row r="2" spans="2:22" ht="22.5" customHeight="1" x14ac:dyDescent="0.3">
      <c r="C2" s="352"/>
      <c r="D2" s="352"/>
      <c r="E2" s="352"/>
      <c r="F2" s="352"/>
      <c r="G2" s="352"/>
      <c r="H2" s="352"/>
      <c r="I2" s="352"/>
      <c r="J2" s="116"/>
      <c r="K2" s="116"/>
    </row>
    <row r="3" spans="2:22" ht="37.5" customHeight="1" x14ac:dyDescent="0.3">
      <c r="C3" s="286"/>
      <c r="D3" s="286"/>
      <c r="E3" s="286"/>
      <c r="F3" s="286"/>
      <c r="G3" s="286"/>
      <c r="H3" s="286"/>
      <c r="I3" s="286"/>
      <c r="J3" s="122"/>
      <c r="K3" s="122"/>
    </row>
    <row r="4" spans="2:22" s="3" customFormat="1" ht="43.9" customHeight="1" x14ac:dyDescent="0.3">
      <c r="B4" s="353" t="s">
        <v>7</v>
      </c>
      <c r="C4" s="353" t="s">
        <v>8</v>
      </c>
      <c r="D4" s="353" t="s">
        <v>9</v>
      </c>
      <c r="E4" s="353" t="s">
        <v>27</v>
      </c>
      <c r="F4" s="353" t="s">
        <v>19</v>
      </c>
      <c r="G4" s="353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54"/>
      <c r="C5" s="354"/>
      <c r="D5" s="354"/>
      <c r="E5" s="354"/>
      <c r="F5" s="354"/>
      <c r="G5" s="354"/>
      <c r="H5" s="314"/>
      <c r="I5" s="314"/>
      <c r="J5" s="52"/>
      <c r="K5" s="52"/>
    </row>
    <row r="6" spans="2:22" s="4" customFormat="1" ht="49.5" customHeight="1" x14ac:dyDescent="0.3">
      <c r="B6" s="355"/>
      <c r="C6" s="355"/>
      <c r="D6" s="355"/>
      <c r="E6" s="355"/>
      <c r="F6" s="355"/>
      <c r="G6" s="355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6" t="e">
        <f>K10/L10</f>
        <v>#REF!</v>
      </c>
      <c r="I8" s="356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7"/>
      <c r="I9" s="357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58"/>
      <c r="I10" s="358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9" t="e">
        <f>K12/L12</f>
        <v>#REF!</v>
      </c>
      <c r="I11" s="359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9"/>
      <c r="I12" s="359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9" t="e">
        <f>K16/L16</f>
        <v>#REF!</v>
      </c>
      <c r="I13" s="356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9"/>
      <c r="I14" s="357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9"/>
      <c r="I15" s="357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9"/>
      <c r="I16" s="358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6" t="e">
        <f>K19/L19</f>
        <v>#REF!</v>
      </c>
      <c r="I17" s="356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7"/>
      <c r="I18" s="357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58"/>
      <c r="I19" s="357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2" t="s">
        <v>57</v>
      </c>
      <c r="D1" s="352"/>
      <c r="E1" s="352"/>
      <c r="F1" s="352"/>
      <c r="G1" s="352"/>
      <c r="H1" s="352"/>
      <c r="I1" s="352"/>
      <c r="J1" s="45"/>
      <c r="K1" s="58"/>
    </row>
    <row r="2" spans="2:22" ht="22.5" customHeight="1" x14ac:dyDescent="0.3">
      <c r="C2" s="352"/>
      <c r="D2" s="352"/>
      <c r="E2" s="352"/>
      <c r="F2" s="352"/>
      <c r="G2" s="352"/>
      <c r="H2" s="352"/>
      <c r="I2" s="352"/>
      <c r="J2" s="46"/>
      <c r="K2" s="59"/>
    </row>
    <row r="3" spans="2:22" ht="37.5" customHeight="1" x14ac:dyDescent="0.3">
      <c r="C3" s="286"/>
      <c r="D3" s="286"/>
      <c r="E3" s="286"/>
      <c r="F3" s="286"/>
      <c r="G3" s="286"/>
      <c r="H3" s="286"/>
      <c r="I3" s="286"/>
      <c r="J3" s="51"/>
      <c r="K3" s="51"/>
    </row>
    <row r="4" spans="2:22" s="3" customFormat="1" ht="43.9" customHeight="1" x14ac:dyDescent="0.3">
      <c r="B4" s="353" t="s">
        <v>7</v>
      </c>
      <c r="C4" s="353" t="s">
        <v>8</v>
      </c>
      <c r="D4" s="353" t="s">
        <v>9</v>
      </c>
      <c r="E4" s="353" t="s">
        <v>27</v>
      </c>
      <c r="F4" s="353" t="s">
        <v>19</v>
      </c>
      <c r="G4" s="353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54"/>
      <c r="C5" s="354"/>
      <c r="D5" s="354"/>
      <c r="E5" s="354"/>
      <c r="F5" s="354"/>
      <c r="G5" s="354"/>
      <c r="H5" s="314"/>
      <c r="I5" s="314"/>
      <c r="J5" s="52"/>
      <c r="K5" s="52"/>
    </row>
    <row r="6" spans="2:22" s="4" customFormat="1" ht="49.5" customHeight="1" x14ac:dyDescent="0.3">
      <c r="B6" s="355"/>
      <c r="C6" s="355"/>
      <c r="D6" s="355"/>
      <c r="E6" s="355"/>
      <c r="F6" s="355"/>
      <c r="G6" s="355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6" t="e">
        <f>ROUND(K10/L10,2)</f>
        <v>#REF!</v>
      </c>
      <c r="I8" s="356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7"/>
      <c r="I9" s="357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58"/>
      <c r="I10" s="358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6" t="e">
        <f>ROUND(K11/L11,2)</f>
        <v>#REF!</v>
      </c>
      <c r="I11" s="356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58"/>
      <c r="I12" s="358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6" t="e">
        <f>ROUND(K14/L14,2)</f>
        <v>#REF!</v>
      </c>
      <c r="I13" s="356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7"/>
      <c r="I14" s="357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58"/>
      <c r="I15" s="358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6" t="e">
        <f>ROUND(K19/L19,2)</f>
        <v>#REF!</v>
      </c>
      <c r="I16" s="356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7"/>
      <c r="I17" s="357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7"/>
      <c r="I18" s="357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58"/>
      <c r="I19" s="358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2019 (черн)</vt:lpstr>
      <vt:lpstr>все виды помощи 2020</vt:lpstr>
      <vt:lpstr>тарифы (с плот.) (2)</vt:lpstr>
      <vt:lpstr>тарифы (с плот.)</vt:lpstr>
      <vt:lpstr>тарифы  (для Приложения 1)</vt:lpstr>
      <vt:lpstr>плотность населения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2019 (черн)'!Заголовки_для_печати</vt:lpstr>
      <vt:lpstr>'все виды помощи 2020'!Заголовки_для_печати</vt:lpstr>
      <vt:lpstr>'тарифы  (для Приложения 1)'!Заголовки_для_печати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2019 (черн)'!Область_печати</vt:lpstr>
      <vt:lpstr>'все виды помощи 2020'!Область_печати</vt:lpstr>
      <vt:lpstr>'Коэф плотности населения'!Область_печати</vt:lpstr>
      <vt:lpstr>'тарифы  (для Приложения 1)'!Область_печати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2019-11-18T22:49:05Z</cp:lastPrinted>
  <dcterms:created xsi:type="dcterms:W3CDTF">2015-02-06T05:02:21Z</dcterms:created>
  <dcterms:modified xsi:type="dcterms:W3CDTF">2020-12-25T05:28:00Z</dcterms:modified>
</cp:coreProperties>
</file>