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4 от 30.10.2020\Приложение к вопросу № 14-04 от 30.10.2020 (анализ ТПОМС)\"/>
    </mc:Choice>
  </mc:AlternateContent>
  <bookViews>
    <workbookView xWindow="0" yWindow="0" windowWidth="20430" windowHeight="6990" tabRatio="757" activeTab="5"/>
  </bookViews>
  <sheets>
    <sheet name="ИСПОЛНЕНИЕ ТПОМС" sheetId="6" r:id="rId1"/>
    <sheet name="СВОД-ИСПОЛНЕНИЕ МО" sheetId="1" r:id="rId2"/>
    <sheet name="СМП" sheetId="5" r:id="rId3"/>
    <sheet name="ДС" sheetId="4" r:id="rId4"/>
    <sheet name="КС" sheetId="3" r:id="rId5"/>
    <sheet name="АМП" sheetId="2" r:id="rId6"/>
    <sheet name="АНАЛИЗ ФИН.УСТОЙЧИВОСТИ" sheetId="7" r:id="rId7"/>
  </sheets>
  <externalReferences>
    <externalReference r:id="rId8"/>
  </externalReferences>
  <definedNames>
    <definedName name="_xlnm._FilterDatabase" localSheetId="6" hidden="1">'АНАЛИЗ ФИН.УСТОЙЧИВОСТИ'!$A$9:$J$9</definedName>
    <definedName name="_xlnm._FilterDatabase" localSheetId="0" hidden="1">'ИСПОЛНЕНИЕ ТПОМС'!$A$12:$G$30</definedName>
    <definedName name="_xlnm.Print_Titles" localSheetId="5">АМП!$A:$A,АМП!$5:$8</definedName>
    <definedName name="_xlnm.Print_Titles" localSheetId="6">'АНАЛИЗ ФИН.УСТОЙЧИВОСТИ'!$7:$9</definedName>
    <definedName name="_xlnm.Print_Titles" localSheetId="3">ДС!$4:$7</definedName>
    <definedName name="_xlnm.Print_Titles" localSheetId="4">КС!$4:$7</definedName>
    <definedName name="_xlnm.Print_Titles" localSheetId="1">'СВОД-ИСПОЛНЕНИЕ МО'!$4:$7</definedName>
    <definedName name="_xlnm.Print_Titles" localSheetId="2">СМП!$4:$7</definedName>
    <definedName name="_xlnm.Print_Area" localSheetId="5">АМП!$A$1:$AH$50</definedName>
    <definedName name="_xlnm.Print_Area" localSheetId="6">'АНАЛИЗ ФИН.УСТОЙЧИВОСТИ'!$A$1:$P$166</definedName>
    <definedName name="_xlnm.Print_Area" localSheetId="3">ДС!$A$1:$G$49</definedName>
    <definedName name="_xlnm.Print_Area" localSheetId="0">'ИСПОЛНЕНИЕ ТПОМС'!$A$1:$G$30</definedName>
    <definedName name="_xlnm.Print_Area" localSheetId="4">КС!$A$1:$G$49</definedName>
    <definedName name="_xlnm.Print_Area" localSheetId="1">'СВОД-ИСПОЛНЕНИЕ МО'!$A$1:$D$49</definedName>
    <definedName name="_xlnm.Print_Area" localSheetId="2">СМП!$A$1:$G$49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3" i="7" l="1"/>
  <c r="K163" i="7"/>
  <c r="J163" i="7"/>
  <c r="I163" i="7"/>
  <c r="H163" i="7"/>
  <c r="F163" i="7"/>
  <c r="E163" i="7"/>
  <c r="D163" i="7"/>
  <c r="O162" i="7"/>
  <c r="K162" i="7"/>
  <c r="J162" i="7"/>
  <c r="I162" i="7"/>
  <c r="H162" i="7"/>
  <c r="F162" i="7"/>
  <c r="E162" i="7"/>
  <c r="D162" i="7"/>
  <c r="O161" i="7"/>
  <c r="P161" i="7" s="1"/>
  <c r="L161" i="7"/>
  <c r="K161" i="7"/>
  <c r="J161" i="7"/>
  <c r="I161" i="7"/>
  <c r="H161" i="7"/>
  <c r="F161" i="7"/>
  <c r="E161" i="7"/>
  <c r="D161" i="7"/>
  <c r="O160" i="7"/>
  <c r="K160" i="7"/>
  <c r="J160" i="7"/>
  <c r="I160" i="7"/>
  <c r="H160" i="7"/>
  <c r="F160" i="7"/>
  <c r="E160" i="7"/>
  <c r="D160" i="7"/>
  <c r="O159" i="7"/>
  <c r="K159" i="7"/>
  <c r="J159" i="7"/>
  <c r="I159" i="7"/>
  <c r="H159" i="7"/>
  <c r="F159" i="7"/>
  <c r="E159" i="7"/>
  <c r="D159" i="7"/>
  <c r="O158" i="7"/>
  <c r="P158" i="7" s="1"/>
  <c r="K158" i="7"/>
  <c r="J158" i="7"/>
  <c r="I158" i="7"/>
  <c r="H158" i="7"/>
  <c r="F158" i="7"/>
  <c r="E158" i="7"/>
  <c r="D158" i="7"/>
  <c r="P154" i="7"/>
  <c r="N154" i="7"/>
  <c r="M154" i="7"/>
  <c r="L154" i="7"/>
  <c r="G154" i="7"/>
  <c r="C154" i="7"/>
  <c r="P153" i="7"/>
  <c r="M153" i="7"/>
  <c r="L153" i="7"/>
  <c r="N153" i="7" s="1"/>
  <c r="G153" i="7"/>
  <c r="C153" i="7"/>
  <c r="M152" i="7"/>
  <c r="M147" i="7" s="1"/>
  <c r="L152" i="7"/>
  <c r="P152" i="7" s="1"/>
  <c r="G152" i="7"/>
  <c r="C152" i="7"/>
  <c r="M151" i="7"/>
  <c r="L151" i="7"/>
  <c r="P151" i="7" s="1"/>
  <c r="G151" i="7"/>
  <c r="G147" i="7" s="1"/>
  <c r="C151" i="7"/>
  <c r="P150" i="7"/>
  <c r="N150" i="7"/>
  <c r="M150" i="7"/>
  <c r="L150" i="7"/>
  <c r="G150" i="7"/>
  <c r="C150" i="7"/>
  <c r="P149" i="7"/>
  <c r="M149" i="7"/>
  <c r="L149" i="7"/>
  <c r="N149" i="7" s="1"/>
  <c r="G149" i="7"/>
  <c r="C149" i="7"/>
  <c r="O147" i="7"/>
  <c r="K147" i="7"/>
  <c r="J147" i="7"/>
  <c r="I147" i="7"/>
  <c r="H147" i="7"/>
  <c r="F147" i="7"/>
  <c r="E147" i="7"/>
  <c r="D147" i="7"/>
  <c r="C147" i="7"/>
  <c r="M145" i="7"/>
  <c r="L145" i="7"/>
  <c r="P145" i="7" s="1"/>
  <c r="G145" i="7"/>
  <c r="C145" i="7"/>
  <c r="P144" i="7"/>
  <c r="N144" i="7"/>
  <c r="M144" i="7"/>
  <c r="L144" i="7"/>
  <c r="G144" i="7"/>
  <c r="C144" i="7"/>
  <c r="P143" i="7"/>
  <c r="M143" i="7"/>
  <c r="L143" i="7"/>
  <c r="N143" i="7" s="1"/>
  <c r="G143" i="7"/>
  <c r="C143" i="7"/>
  <c r="M142" i="7"/>
  <c r="M138" i="7" s="1"/>
  <c r="N138" i="7" s="1"/>
  <c r="L142" i="7"/>
  <c r="P142" i="7" s="1"/>
  <c r="G142" i="7"/>
  <c r="C142" i="7"/>
  <c r="M141" i="7"/>
  <c r="L141" i="7"/>
  <c r="P141" i="7" s="1"/>
  <c r="G141" i="7"/>
  <c r="G138" i="7" s="1"/>
  <c r="C141" i="7"/>
  <c r="P140" i="7"/>
  <c r="N140" i="7"/>
  <c r="M140" i="7"/>
  <c r="L140" i="7"/>
  <c r="L138" i="7" s="1"/>
  <c r="P138" i="7" s="1"/>
  <c r="G140" i="7"/>
  <c r="C140" i="7"/>
  <c r="C138" i="7" s="1"/>
  <c r="O138" i="7"/>
  <c r="K138" i="7"/>
  <c r="J138" i="7"/>
  <c r="I138" i="7"/>
  <c r="H138" i="7"/>
  <c r="F138" i="7"/>
  <c r="E138" i="7"/>
  <c r="D138" i="7"/>
  <c r="M136" i="7"/>
  <c r="N136" i="7" s="1"/>
  <c r="L136" i="7"/>
  <c r="P136" i="7" s="1"/>
  <c r="G136" i="7"/>
  <c r="C136" i="7"/>
  <c r="M135" i="7"/>
  <c r="L135" i="7"/>
  <c r="P135" i="7" s="1"/>
  <c r="G135" i="7"/>
  <c r="C135" i="7"/>
  <c r="N134" i="7"/>
  <c r="M134" i="7"/>
  <c r="L134" i="7"/>
  <c r="P134" i="7" s="1"/>
  <c r="G134" i="7"/>
  <c r="C134" i="7"/>
  <c r="P133" i="7"/>
  <c r="M133" i="7"/>
  <c r="L133" i="7"/>
  <c r="N133" i="7" s="1"/>
  <c r="G133" i="7"/>
  <c r="C133" i="7"/>
  <c r="M132" i="7"/>
  <c r="M129" i="7" s="1"/>
  <c r="L132" i="7"/>
  <c r="P132" i="7" s="1"/>
  <c r="G132" i="7"/>
  <c r="C132" i="7"/>
  <c r="M131" i="7"/>
  <c r="L131" i="7"/>
  <c r="P131" i="7" s="1"/>
  <c r="G131" i="7"/>
  <c r="G129" i="7" s="1"/>
  <c r="C131" i="7"/>
  <c r="O129" i="7"/>
  <c r="K129" i="7"/>
  <c r="J129" i="7"/>
  <c r="I129" i="7"/>
  <c r="H129" i="7"/>
  <c r="F129" i="7"/>
  <c r="E129" i="7"/>
  <c r="D129" i="7"/>
  <c r="C129" i="7"/>
  <c r="P127" i="7"/>
  <c r="M127" i="7"/>
  <c r="L127" i="7"/>
  <c r="N127" i="7" s="1"/>
  <c r="G127" i="7"/>
  <c r="C127" i="7"/>
  <c r="M126" i="7"/>
  <c r="N126" i="7" s="1"/>
  <c r="L126" i="7"/>
  <c r="P126" i="7" s="1"/>
  <c r="G126" i="7"/>
  <c r="C126" i="7"/>
  <c r="M125" i="7"/>
  <c r="L125" i="7"/>
  <c r="P125" i="7" s="1"/>
  <c r="G125" i="7"/>
  <c r="G120" i="7" s="1"/>
  <c r="C125" i="7"/>
  <c r="N124" i="7"/>
  <c r="M124" i="7"/>
  <c r="L124" i="7"/>
  <c r="P124" i="7" s="1"/>
  <c r="G124" i="7"/>
  <c r="C124" i="7"/>
  <c r="P123" i="7"/>
  <c r="M123" i="7"/>
  <c r="L123" i="7"/>
  <c r="N123" i="7" s="1"/>
  <c r="G123" i="7"/>
  <c r="C123" i="7"/>
  <c r="M122" i="7"/>
  <c r="N122" i="7" s="1"/>
  <c r="L122" i="7"/>
  <c r="P122" i="7" s="1"/>
  <c r="G122" i="7"/>
  <c r="C122" i="7"/>
  <c r="C120" i="7" s="1"/>
  <c r="O120" i="7"/>
  <c r="P120" i="7" s="1"/>
  <c r="L120" i="7"/>
  <c r="K120" i="7"/>
  <c r="J120" i="7"/>
  <c r="I120" i="7"/>
  <c r="H120" i="7"/>
  <c r="F120" i="7"/>
  <c r="E120" i="7"/>
  <c r="D120" i="7"/>
  <c r="N118" i="7"/>
  <c r="M118" i="7"/>
  <c r="L118" i="7"/>
  <c r="P118" i="7" s="1"/>
  <c r="G118" i="7"/>
  <c r="C118" i="7"/>
  <c r="P117" i="7"/>
  <c r="M117" i="7"/>
  <c r="L117" i="7"/>
  <c r="N117" i="7" s="1"/>
  <c r="G117" i="7"/>
  <c r="C117" i="7"/>
  <c r="M116" i="7"/>
  <c r="M111" i="7" s="1"/>
  <c r="L116" i="7"/>
  <c r="P116" i="7" s="1"/>
  <c r="G116" i="7"/>
  <c r="C116" i="7"/>
  <c r="M115" i="7"/>
  <c r="L115" i="7"/>
  <c r="P115" i="7" s="1"/>
  <c r="G115" i="7"/>
  <c r="G111" i="7" s="1"/>
  <c r="C115" i="7"/>
  <c r="N114" i="7"/>
  <c r="M114" i="7"/>
  <c r="L114" i="7"/>
  <c r="P114" i="7" s="1"/>
  <c r="G114" i="7"/>
  <c r="C114" i="7"/>
  <c r="P113" i="7"/>
  <c r="M113" i="7"/>
  <c r="L113" i="7"/>
  <c r="N113" i="7" s="1"/>
  <c r="G113" i="7"/>
  <c r="C113" i="7"/>
  <c r="O111" i="7"/>
  <c r="K111" i="7"/>
  <c r="J111" i="7"/>
  <c r="I111" i="7"/>
  <c r="H111" i="7"/>
  <c r="F111" i="7"/>
  <c r="E111" i="7"/>
  <c r="D111" i="7"/>
  <c r="C111" i="7"/>
  <c r="M109" i="7"/>
  <c r="L109" i="7"/>
  <c r="P109" i="7" s="1"/>
  <c r="G109" i="7"/>
  <c r="C109" i="7"/>
  <c r="N108" i="7"/>
  <c r="M108" i="7"/>
  <c r="L108" i="7"/>
  <c r="P108" i="7" s="1"/>
  <c r="G108" i="7"/>
  <c r="C108" i="7"/>
  <c r="P107" i="7"/>
  <c r="M107" i="7"/>
  <c r="L107" i="7"/>
  <c r="N107" i="7" s="1"/>
  <c r="G107" i="7"/>
  <c r="C107" i="7"/>
  <c r="M106" i="7"/>
  <c r="M102" i="7" s="1"/>
  <c r="L106" i="7"/>
  <c r="P106" i="7" s="1"/>
  <c r="G106" i="7"/>
  <c r="C106" i="7"/>
  <c r="M105" i="7"/>
  <c r="L105" i="7"/>
  <c r="P105" i="7" s="1"/>
  <c r="G105" i="7"/>
  <c r="G102" i="7" s="1"/>
  <c r="C105" i="7"/>
  <c r="N104" i="7"/>
  <c r="M104" i="7"/>
  <c r="L104" i="7"/>
  <c r="P104" i="7" s="1"/>
  <c r="G104" i="7"/>
  <c r="C104" i="7"/>
  <c r="C102" i="7" s="1"/>
  <c r="O102" i="7"/>
  <c r="K102" i="7"/>
  <c r="J102" i="7"/>
  <c r="I102" i="7"/>
  <c r="H102" i="7"/>
  <c r="F102" i="7"/>
  <c r="E102" i="7"/>
  <c r="D102" i="7"/>
  <c r="M100" i="7"/>
  <c r="N100" i="7" s="1"/>
  <c r="L100" i="7"/>
  <c r="P100" i="7" s="1"/>
  <c r="G100" i="7"/>
  <c r="C100" i="7"/>
  <c r="M99" i="7"/>
  <c r="L99" i="7"/>
  <c r="P99" i="7" s="1"/>
  <c r="G99" i="7"/>
  <c r="C99" i="7"/>
  <c r="N98" i="7"/>
  <c r="M98" i="7"/>
  <c r="L98" i="7"/>
  <c r="P98" i="7" s="1"/>
  <c r="G98" i="7"/>
  <c r="C98" i="7"/>
  <c r="P97" i="7"/>
  <c r="M97" i="7"/>
  <c r="L97" i="7"/>
  <c r="N97" i="7" s="1"/>
  <c r="G97" i="7"/>
  <c r="C97" i="7"/>
  <c r="M96" i="7"/>
  <c r="M93" i="7" s="1"/>
  <c r="L96" i="7"/>
  <c r="P96" i="7" s="1"/>
  <c r="G96" i="7"/>
  <c r="C96" i="7"/>
  <c r="C93" i="7" s="1"/>
  <c r="M95" i="7"/>
  <c r="L95" i="7"/>
  <c r="P95" i="7" s="1"/>
  <c r="G95" i="7"/>
  <c r="G93" i="7" s="1"/>
  <c r="C95" i="7"/>
  <c r="O93" i="7"/>
  <c r="K93" i="7"/>
  <c r="J93" i="7"/>
  <c r="I93" i="7"/>
  <c r="H93" i="7"/>
  <c r="F93" i="7"/>
  <c r="E93" i="7"/>
  <c r="D93" i="7"/>
  <c r="P91" i="7"/>
  <c r="M91" i="7"/>
  <c r="L91" i="7"/>
  <c r="N91" i="7" s="1"/>
  <c r="G91" i="7"/>
  <c r="C91" i="7"/>
  <c r="M90" i="7"/>
  <c r="N90" i="7" s="1"/>
  <c r="L90" i="7"/>
  <c r="P90" i="7" s="1"/>
  <c r="G90" i="7"/>
  <c r="C90" i="7"/>
  <c r="M89" i="7"/>
  <c r="L89" i="7"/>
  <c r="P89" i="7" s="1"/>
  <c r="G89" i="7"/>
  <c r="G84" i="7" s="1"/>
  <c r="C89" i="7"/>
  <c r="N88" i="7"/>
  <c r="M88" i="7"/>
  <c r="L88" i="7"/>
  <c r="P88" i="7" s="1"/>
  <c r="G88" i="7"/>
  <c r="C88" i="7"/>
  <c r="P87" i="7"/>
  <c r="M87" i="7"/>
  <c r="L87" i="7"/>
  <c r="N87" i="7" s="1"/>
  <c r="G87" i="7"/>
  <c r="C87" i="7"/>
  <c r="M86" i="7"/>
  <c r="N86" i="7" s="1"/>
  <c r="L86" i="7"/>
  <c r="P86" i="7" s="1"/>
  <c r="G86" i="7"/>
  <c r="C86" i="7"/>
  <c r="C84" i="7" s="1"/>
  <c r="O84" i="7"/>
  <c r="P84" i="7" s="1"/>
  <c r="L84" i="7"/>
  <c r="K84" i="7"/>
  <c r="J84" i="7"/>
  <c r="I84" i="7"/>
  <c r="H84" i="7"/>
  <c r="F84" i="7"/>
  <c r="E84" i="7"/>
  <c r="D84" i="7"/>
  <c r="N82" i="7"/>
  <c r="M82" i="7"/>
  <c r="L82" i="7"/>
  <c r="P82" i="7" s="1"/>
  <c r="G82" i="7"/>
  <c r="C82" i="7"/>
  <c r="P81" i="7"/>
  <c r="M81" i="7"/>
  <c r="L81" i="7"/>
  <c r="N81" i="7" s="1"/>
  <c r="G81" i="7"/>
  <c r="C81" i="7"/>
  <c r="M80" i="7"/>
  <c r="M75" i="7" s="1"/>
  <c r="L80" i="7"/>
  <c r="P80" i="7" s="1"/>
  <c r="G80" i="7"/>
  <c r="C80" i="7"/>
  <c r="C75" i="7" s="1"/>
  <c r="M79" i="7"/>
  <c r="L79" i="7"/>
  <c r="P79" i="7" s="1"/>
  <c r="G79" i="7"/>
  <c r="G75" i="7" s="1"/>
  <c r="C79" i="7"/>
  <c r="N78" i="7"/>
  <c r="M78" i="7"/>
  <c r="L78" i="7"/>
  <c r="P78" i="7" s="1"/>
  <c r="G78" i="7"/>
  <c r="C78" i="7"/>
  <c r="P77" i="7"/>
  <c r="M77" i="7"/>
  <c r="L77" i="7"/>
  <c r="N77" i="7" s="1"/>
  <c r="G77" i="7"/>
  <c r="C77" i="7"/>
  <c r="O75" i="7"/>
  <c r="K75" i="7"/>
  <c r="J75" i="7"/>
  <c r="I75" i="7"/>
  <c r="H75" i="7"/>
  <c r="F75" i="7"/>
  <c r="E75" i="7"/>
  <c r="D75" i="7"/>
  <c r="M73" i="7"/>
  <c r="L73" i="7"/>
  <c r="P73" i="7" s="1"/>
  <c r="G73" i="7"/>
  <c r="C73" i="7"/>
  <c r="N72" i="7"/>
  <c r="M72" i="7"/>
  <c r="L72" i="7"/>
  <c r="P72" i="7" s="1"/>
  <c r="G72" i="7"/>
  <c r="C72" i="7"/>
  <c r="P71" i="7"/>
  <c r="M71" i="7"/>
  <c r="L71" i="7"/>
  <c r="N71" i="7" s="1"/>
  <c r="G71" i="7"/>
  <c r="C71" i="7"/>
  <c r="M70" i="7"/>
  <c r="M66" i="7" s="1"/>
  <c r="L70" i="7"/>
  <c r="P70" i="7" s="1"/>
  <c r="G70" i="7"/>
  <c r="C70" i="7"/>
  <c r="M69" i="7"/>
  <c r="L69" i="7"/>
  <c r="P69" i="7" s="1"/>
  <c r="G69" i="7"/>
  <c r="G66" i="7" s="1"/>
  <c r="C69" i="7"/>
  <c r="N68" i="7"/>
  <c r="M68" i="7"/>
  <c r="L68" i="7"/>
  <c r="P68" i="7" s="1"/>
  <c r="G68" i="7"/>
  <c r="C68" i="7"/>
  <c r="C66" i="7" s="1"/>
  <c r="O66" i="7"/>
  <c r="K66" i="7"/>
  <c r="J66" i="7"/>
  <c r="I66" i="7"/>
  <c r="H66" i="7"/>
  <c r="F66" i="7"/>
  <c r="E66" i="7"/>
  <c r="D66" i="7"/>
  <c r="M64" i="7"/>
  <c r="N64" i="7" s="1"/>
  <c r="L64" i="7"/>
  <c r="P64" i="7" s="1"/>
  <c r="G64" i="7"/>
  <c r="C64" i="7"/>
  <c r="M63" i="7"/>
  <c r="L63" i="7"/>
  <c r="P63" i="7" s="1"/>
  <c r="G63" i="7"/>
  <c r="C63" i="7"/>
  <c r="N62" i="7"/>
  <c r="M62" i="7"/>
  <c r="L62" i="7"/>
  <c r="P62" i="7" s="1"/>
  <c r="G62" i="7"/>
  <c r="C62" i="7"/>
  <c r="P61" i="7"/>
  <c r="M61" i="7"/>
  <c r="L61" i="7"/>
  <c r="N61" i="7" s="1"/>
  <c r="G61" i="7"/>
  <c r="C61" i="7"/>
  <c r="M60" i="7"/>
  <c r="M57" i="7" s="1"/>
  <c r="L60" i="7"/>
  <c r="P60" i="7" s="1"/>
  <c r="G60" i="7"/>
  <c r="C60" i="7"/>
  <c r="C57" i="7" s="1"/>
  <c r="M59" i="7"/>
  <c r="L59" i="7"/>
  <c r="P59" i="7" s="1"/>
  <c r="G59" i="7"/>
  <c r="G57" i="7" s="1"/>
  <c r="C59" i="7"/>
  <c r="O57" i="7"/>
  <c r="K57" i="7"/>
  <c r="J57" i="7"/>
  <c r="I57" i="7"/>
  <c r="H57" i="7"/>
  <c r="F57" i="7"/>
  <c r="E57" i="7"/>
  <c r="D57" i="7"/>
  <c r="P55" i="7"/>
  <c r="M55" i="7"/>
  <c r="L55" i="7"/>
  <c r="N55" i="7" s="1"/>
  <c r="G55" i="7"/>
  <c r="C55" i="7"/>
  <c r="M54" i="7"/>
  <c r="N54" i="7" s="1"/>
  <c r="L54" i="7"/>
  <c r="P54" i="7" s="1"/>
  <c r="G54" i="7"/>
  <c r="C54" i="7"/>
  <c r="M53" i="7"/>
  <c r="L53" i="7"/>
  <c r="P53" i="7" s="1"/>
  <c r="G53" i="7"/>
  <c r="G48" i="7" s="1"/>
  <c r="C53" i="7"/>
  <c r="N52" i="7"/>
  <c r="M52" i="7"/>
  <c r="L52" i="7"/>
  <c r="P52" i="7" s="1"/>
  <c r="G52" i="7"/>
  <c r="C52" i="7"/>
  <c r="P51" i="7"/>
  <c r="M51" i="7"/>
  <c r="L51" i="7"/>
  <c r="N51" i="7" s="1"/>
  <c r="G51" i="7"/>
  <c r="C51" i="7"/>
  <c r="M50" i="7"/>
  <c r="N50" i="7" s="1"/>
  <c r="L50" i="7"/>
  <c r="P50" i="7" s="1"/>
  <c r="G50" i="7"/>
  <c r="C50" i="7"/>
  <c r="C48" i="7" s="1"/>
  <c r="O48" i="7"/>
  <c r="P48" i="7" s="1"/>
  <c r="L48" i="7"/>
  <c r="K48" i="7"/>
  <c r="J48" i="7"/>
  <c r="I48" i="7"/>
  <c r="H48" i="7"/>
  <c r="F48" i="7"/>
  <c r="E48" i="7"/>
  <c r="D48" i="7"/>
  <c r="N46" i="7"/>
  <c r="M46" i="7"/>
  <c r="L46" i="7"/>
  <c r="P46" i="7" s="1"/>
  <c r="G46" i="7"/>
  <c r="C46" i="7"/>
  <c r="P45" i="7"/>
  <c r="M45" i="7"/>
  <c r="L45" i="7"/>
  <c r="N45" i="7" s="1"/>
  <c r="G45" i="7"/>
  <c r="C45" i="7"/>
  <c r="M44" i="7"/>
  <c r="M39" i="7" s="1"/>
  <c r="L44" i="7"/>
  <c r="P44" i="7" s="1"/>
  <c r="G44" i="7"/>
  <c r="C44" i="7"/>
  <c r="M43" i="7"/>
  <c r="L43" i="7"/>
  <c r="P43" i="7" s="1"/>
  <c r="G43" i="7"/>
  <c r="G39" i="7" s="1"/>
  <c r="C43" i="7"/>
  <c r="N42" i="7"/>
  <c r="M42" i="7"/>
  <c r="L42" i="7"/>
  <c r="P42" i="7" s="1"/>
  <c r="G42" i="7"/>
  <c r="C42" i="7"/>
  <c r="P41" i="7"/>
  <c r="M41" i="7"/>
  <c r="L41" i="7"/>
  <c r="N41" i="7" s="1"/>
  <c r="G41" i="7"/>
  <c r="C41" i="7"/>
  <c r="O39" i="7"/>
  <c r="K39" i="7"/>
  <c r="J39" i="7"/>
  <c r="I39" i="7"/>
  <c r="H39" i="7"/>
  <c r="F39" i="7"/>
  <c r="E39" i="7"/>
  <c r="D39" i="7"/>
  <c r="C39" i="7"/>
  <c r="M37" i="7"/>
  <c r="L37" i="7"/>
  <c r="P37" i="7" s="1"/>
  <c r="G37" i="7"/>
  <c r="C37" i="7"/>
  <c r="N36" i="7"/>
  <c r="M36" i="7"/>
  <c r="L36" i="7"/>
  <c r="P36" i="7" s="1"/>
  <c r="G36" i="7"/>
  <c r="C36" i="7"/>
  <c r="P35" i="7"/>
  <c r="M35" i="7"/>
  <c r="L35" i="7"/>
  <c r="N35" i="7" s="1"/>
  <c r="G35" i="7"/>
  <c r="C35" i="7"/>
  <c r="M34" i="7"/>
  <c r="M30" i="7" s="1"/>
  <c r="L34" i="7"/>
  <c r="P34" i="7" s="1"/>
  <c r="G34" i="7"/>
  <c r="C34" i="7"/>
  <c r="M33" i="7"/>
  <c r="L33" i="7"/>
  <c r="P33" i="7" s="1"/>
  <c r="G33" i="7"/>
  <c r="G30" i="7" s="1"/>
  <c r="C33" i="7"/>
  <c r="N32" i="7"/>
  <c r="M32" i="7"/>
  <c r="L32" i="7"/>
  <c r="P32" i="7" s="1"/>
  <c r="G32" i="7"/>
  <c r="C32" i="7"/>
  <c r="C30" i="7" s="1"/>
  <c r="O30" i="7"/>
  <c r="K30" i="7"/>
  <c r="J30" i="7"/>
  <c r="I30" i="7"/>
  <c r="H30" i="7"/>
  <c r="F30" i="7"/>
  <c r="E30" i="7"/>
  <c r="D30" i="7"/>
  <c r="M28" i="7"/>
  <c r="N28" i="7" s="1"/>
  <c r="L28" i="7"/>
  <c r="P28" i="7" s="1"/>
  <c r="G28" i="7"/>
  <c r="C28" i="7"/>
  <c r="M27" i="7"/>
  <c r="L27" i="7"/>
  <c r="P27" i="7" s="1"/>
  <c r="G27" i="7"/>
  <c r="C27" i="7"/>
  <c r="N26" i="7"/>
  <c r="M26" i="7"/>
  <c r="L26" i="7"/>
  <c r="P26" i="7" s="1"/>
  <c r="G26" i="7"/>
  <c r="C26" i="7"/>
  <c r="P25" i="7"/>
  <c r="M25" i="7"/>
  <c r="L25" i="7"/>
  <c r="N25" i="7" s="1"/>
  <c r="G25" i="7"/>
  <c r="C25" i="7"/>
  <c r="M24" i="7"/>
  <c r="N24" i="7" s="1"/>
  <c r="L24" i="7"/>
  <c r="P24" i="7" s="1"/>
  <c r="G24" i="7"/>
  <c r="C24" i="7"/>
  <c r="M23" i="7"/>
  <c r="L23" i="7"/>
  <c r="P23" i="7" s="1"/>
  <c r="G23" i="7"/>
  <c r="G21" i="7" s="1"/>
  <c r="C23" i="7"/>
  <c r="C21" i="7" s="1"/>
  <c r="O21" i="7"/>
  <c r="K21" i="7"/>
  <c r="J21" i="7"/>
  <c r="I21" i="7"/>
  <c r="H21" i="7"/>
  <c r="F21" i="7"/>
  <c r="E21" i="7"/>
  <c r="D21" i="7"/>
  <c r="P19" i="7"/>
  <c r="N19" i="7"/>
  <c r="M19" i="7"/>
  <c r="M163" i="7" s="1"/>
  <c r="L19" i="7"/>
  <c r="L163" i="7" s="1"/>
  <c r="P163" i="7" s="1"/>
  <c r="G19" i="7"/>
  <c r="G163" i="7" s="1"/>
  <c r="C19" i="7"/>
  <c r="C163" i="7" s="1"/>
  <c r="M18" i="7"/>
  <c r="M162" i="7" s="1"/>
  <c r="L18" i="7"/>
  <c r="L162" i="7" s="1"/>
  <c r="G18" i="7"/>
  <c r="G162" i="7" s="1"/>
  <c r="C18" i="7"/>
  <c r="C162" i="7" s="1"/>
  <c r="M17" i="7"/>
  <c r="M161" i="7" s="1"/>
  <c r="N161" i="7" s="1"/>
  <c r="L17" i="7"/>
  <c r="P17" i="7" s="1"/>
  <c r="G17" i="7"/>
  <c r="G12" i="7" s="1"/>
  <c r="C17" i="7"/>
  <c r="C161" i="7" s="1"/>
  <c r="N16" i="7"/>
  <c r="M16" i="7"/>
  <c r="M160" i="7" s="1"/>
  <c r="L16" i="7"/>
  <c r="P16" i="7" s="1"/>
  <c r="G16" i="7"/>
  <c r="G160" i="7" s="1"/>
  <c r="C16" i="7"/>
  <c r="C160" i="7" s="1"/>
  <c r="P15" i="7"/>
  <c r="N15" i="7"/>
  <c r="M15" i="7"/>
  <c r="M159" i="7" s="1"/>
  <c r="L15" i="7"/>
  <c r="L159" i="7" s="1"/>
  <c r="P159" i="7" s="1"/>
  <c r="G15" i="7"/>
  <c r="G159" i="7" s="1"/>
  <c r="C15" i="7"/>
  <c r="C159" i="7" s="1"/>
  <c r="M14" i="7"/>
  <c r="M158" i="7" s="1"/>
  <c r="L14" i="7"/>
  <c r="L158" i="7" s="1"/>
  <c r="G14" i="7"/>
  <c r="G158" i="7" s="1"/>
  <c r="C14" i="7"/>
  <c r="C158" i="7" s="1"/>
  <c r="O12" i="7"/>
  <c r="P12" i="7" s="1"/>
  <c r="L12" i="7"/>
  <c r="K12" i="7"/>
  <c r="K156" i="7" s="1"/>
  <c r="J12" i="7"/>
  <c r="J156" i="7" s="1"/>
  <c r="I12" i="7"/>
  <c r="I156" i="7" s="1"/>
  <c r="H12" i="7"/>
  <c r="H156" i="7" s="1"/>
  <c r="F12" i="7"/>
  <c r="F156" i="7" s="1"/>
  <c r="E12" i="7"/>
  <c r="E156" i="7" s="1"/>
  <c r="D12" i="7"/>
  <c r="D156" i="7" s="1"/>
  <c r="C12" i="7"/>
  <c r="P21" i="7" l="1"/>
  <c r="C156" i="7"/>
  <c r="N162" i="7"/>
  <c r="P147" i="7"/>
  <c r="N159" i="7"/>
  <c r="N93" i="7"/>
  <c r="N39" i="7"/>
  <c r="G156" i="7"/>
  <c r="N147" i="7"/>
  <c r="N163" i="7"/>
  <c r="P39" i="7"/>
  <c r="P57" i="7"/>
  <c r="N158" i="7"/>
  <c r="N30" i="7"/>
  <c r="P162" i="7"/>
  <c r="M12" i="7"/>
  <c r="M48" i="7"/>
  <c r="N48" i="7" s="1"/>
  <c r="N70" i="7"/>
  <c r="M84" i="7"/>
  <c r="N84" i="7" s="1"/>
  <c r="N96" i="7"/>
  <c r="N106" i="7"/>
  <c r="N116" i="7"/>
  <c r="M120" i="7"/>
  <c r="N120" i="7" s="1"/>
  <c r="N132" i="7"/>
  <c r="N142" i="7"/>
  <c r="N152" i="7"/>
  <c r="N14" i="7"/>
  <c r="N44" i="7"/>
  <c r="N60" i="7"/>
  <c r="N80" i="7"/>
  <c r="P14" i="7"/>
  <c r="P18" i="7"/>
  <c r="L21" i="7"/>
  <c r="L57" i="7"/>
  <c r="N57" i="7" s="1"/>
  <c r="L93" i="7"/>
  <c r="P93" i="7" s="1"/>
  <c r="L129" i="7"/>
  <c r="P129" i="7" s="1"/>
  <c r="L160" i="7"/>
  <c r="P160" i="7" s="1"/>
  <c r="N34" i="7"/>
  <c r="N17" i="7"/>
  <c r="M21" i="7"/>
  <c r="N21" i="7" s="1"/>
  <c r="N37" i="7"/>
  <c r="N69" i="7"/>
  <c r="N73" i="7"/>
  <c r="N79" i="7"/>
  <c r="N89" i="7"/>
  <c r="N95" i="7"/>
  <c r="N99" i="7"/>
  <c r="N105" i="7"/>
  <c r="N109" i="7"/>
  <c r="N115" i="7"/>
  <c r="N125" i="7"/>
  <c r="N131" i="7"/>
  <c r="N135" i="7"/>
  <c r="N141" i="7"/>
  <c r="N145" i="7"/>
  <c r="N151" i="7"/>
  <c r="O156" i="7"/>
  <c r="G161" i="7"/>
  <c r="N18" i="7"/>
  <c r="N23" i="7"/>
  <c r="N27" i="7"/>
  <c r="N33" i="7"/>
  <c r="N43" i="7"/>
  <c r="N53" i="7"/>
  <c r="N59" i="7"/>
  <c r="N63" i="7"/>
  <c r="L30" i="7"/>
  <c r="P30" i="7" s="1"/>
  <c r="L66" i="7"/>
  <c r="P66" i="7" s="1"/>
  <c r="L102" i="7"/>
  <c r="P102" i="7" s="1"/>
  <c r="L39" i="7"/>
  <c r="L75" i="7"/>
  <c r="P75" i="7" s="1"/>
  <c r="L111" i="7"/>
  <c r="P111" i="7" s="1"/>
  <c r="L147" i="7"/>
  <c r="N160" i="7" l="1"/>
  <c r="N75" i="7"/>
  <c r="N129" i="7"/>
  <c r="N66" i="7"/>
  <c r="P156" i="7"/>
  <c r="N111" i="7"/>
  <c r="N102" i="7"/>
  <c r="N12" i="7"/>
  <c r="M156" i="7"/>
  <c r="N156" i="7" s="1"/>
  <c r="L156" i="7"/>
  <c r="G30" i="6" l="1"/>
  <c r="F30" i="6"/>
  <c r="G28" i="6"/>
  <c r="F28" i="6"/>
  <c r="G27" i="6"/>
  <c r="F27" i="6"/>
  <c r="G26" i="6"/>
  <c r="F26" i="6"/>
  <c r="G24" i="6"/>
  <c r="F24" i="6"/>
  <c r="G23" i="6"/>
  <c r="F23" i="6"/>
  <c r="G22" i="6"/>
  <c r="F22" i="6"/>
  <c r="G20" i="6"/>
  <c r="F20" i="6"/>
  <c r="G19" i="6"/>
  <c r="F19" i="6"/>
  <c r="G18" i="6"/>
  <c r="F18" i="6"/>
  <c r="E18" i="6"/>
  <c r="D18" i="6"/>
  <c r="G17" i="6"/>
  <c r="F17" i="6"/>
  <c r="G16" i="6"/>
  <c r="F16" i="6"/>
  <c r="G15" i="6"/>
  <c r="F15" i="6"/>
  <c r="E15" i="6"/>
  <c r="D15" i="6"/>
  <c r="C15" i="6"/>
  <c r="E13" i="6"/>
  <c r="G13" i="6" s="1"/>
  <c r="C13" i="6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C34" i="1"/>
  <c r="D34" i="1" s="1"/>
  <c r="C33" i="1"/>
  <c r="C32" i="1"/>
  <c r="D32" i="1" s="1"/>
  <c r="C31" i="1"/>
  <c r="D31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7" i="1"/>
  <c r="D17" i="1" s="1"/>
  <c r="C16" i="1"/>
  <c r="D16" i="1" s="1"/>
  <c r="C15" i="1"/>
  <c r="D15" i="1" s="1"/>
  <c r="C14" i="1"/>
  <c r="D14" i="1" s="1"/>
  <c r="C13" i="1"/>
  <c r="C9" i="1"/>
  <c r="D9" i="1" s="1"/>
  <c r="C10" i="1"/>
  <c r="D10" i="1" s="1"/>
  <c r="C11" i="1"/>
  <c r="D11" i="1" s="1"/>
  <c r="C8" i="1"/>
  <c r="D8" i="1" s="1"/>
  <c r="E27" i="5"/>
  <c r="G27" i="5" s="1"/>
  <c r="D24" i="5"/>
  <c r="D18" i="5"/>
  <c r="F18" i="5" s="1"/>
  <c r="D27" i="5"/>
  <c r="F27" i="5"/>
  <c r="E24" i="5"/>
  <c r="G24" i="5" s="1"/>
  <c r="G26" i="5"/>
  <c r="F26" i="5"/>
  <c r="G25" i="5"/>
  <c r="F25" i="5"/>
  <c r="F24" i="5"/>
  <c r="G23" i="5"/>
  <c r="F23" i="5"/>
  <c r="G21" i="5"/>
  <c r="F21" i="5"/>
  <c r="G20" i="5"/>
  <c r="F20" i="5"/>
  <c r="G18" i="5"/>
  <c r="E18" i="5"/>
  <c r="C42" i="1" l="1"/>
  <c r="D42" i="1" s="1"/>
  <c r="D33" i="1"/>
  <c r="D28" i="1"/>
  <c r="C28" i="1"/>
  <c r="D13" i="1"/>
  <c r="C12" i="1"/>
  <c r="D12" i="1"/>
  <c r="C29" i="5" l="1"/>
  <c r="B29" i="5"/>
  <c r="E8" i="4"/>
  <c r="G47" i="4"/>
  <c r="F47" i="4"/>
  <c r="G46" i="4"/>
  <c r="F46" i="4"/>
  <c r="G45" i="4"/>
  <c r="F45" i="4"/>
  <c r="G44" i="4"/>
  <c r="F44" i="4"/>
  <c r="G27" i="4"/>
  <c r="F27" i="4"/>
  <c r="G26" i="4"/>
  <c r="F26" i="4"/>
  <c r="G25" i="4"/>
  <c r="F25" i="4"/>
  <c r="G24" i="4"/>
  <c r="F24" i="4"/>
  <c r="G23" i="4"/>
  <c r="F23" i="4"/>
  <c r="G21" i="4"/>
  <c r="F21" i="4"/>
  <c r="G20" i="4"/>
  <c r="F20" i="4"/>
  <c r="G16" i="4"/>
  <c r="F16" i="4"/>
  <c r="G15" i="4"/>
  <c r="F15" i="4"/>
  <c r="G14" i="4"/>
  <c r="F14" i="4"/>
  <c r="G13" i="4"/>
  <c r="F13" i="4"/>
  <c r="F9" i="4"/>
  <c r="G9" i="4"/>
  <c r="G8" i="4"/>
  <c r="F8" i="4"/>
  <c r="E29" i="4" l="1"/>
  <c r="D29" i="4"/>
  <c r="C29" i="4"/>
  <c r="B29" i="4"/>
  <c r="F29" i="4" l="1"/>
  <c r="G29" i="4"/>
  <c r="E8" i="3" l="1"/>
  <c r="E29" i="3" l="1"/>
  <c r="D29" i="3"/>
  <c r="F20" i="3"/>
  <c r="G20" i="3"/>
  <c r="F21" i="3"/>
  <c r="G21" i="3"/>
  <c r="F23" i="3"/>
  <c r="G23" i="3"/>
  <c r="F24" i="3"/>
  <c r="G24" i="3"/>
  <c r="F25" i="3"/>
  <c r="G25" i="3"/>
  <c r="F26" i="3"/>
  <c r="G26" i="3"/>
  <c r="F27" i="3"/>
  <c r="G27" i="3"/>
  <c r="F15" i="3"/>
  <c r="G15" i="3"/>
  <c r="F9" i="3"/>
  <c r="G9" i="3"/>
  <c r="F13" i="3"/>
  <c r="G13" i="3"/>
  <c r="F14" i="3"/>
  <c r="G14" i="3"/>
  <c r="G8" i="3"/>
  <c r="F8" i="3"/>
  <c r="V28" i="2" l="1"/>
  <c r="T28" i="2"/>
  <c r="N28" i="2"/>
  <c r="V16" i="2"/>
  <c r="T16" i="2"/>
  <c r="N16" i="2"/>
  <c r="V27" i="2"/>
  <c r="T27" i="2"/>
  <c r="N27" i="2"/>
  <c r="V26" i="2"/>
  <c r="T26" i="2"/>
  <c r="N26" i="2"/>
  <c r="T25" i="2"/>
  <c r="V25" i="2"/>
  <c r="N25" i="2"/>
  <c r="V24" i="2"/>
  <c r="N24" i="2"/>
  <c r="V22" i="2"/>
  <c r="T22" i="2"/>
  <c r="N22" i="2"/>
  <c r="T21" i="2"/>
  <c r="V21" i="2"/>
  <c r="N21" i="2"/>
  <c r="T24" i="2" l="1"/>
  <c r="U28" i="2" l="1"/>
  <c r="S28" i="2"/>
  <c r="M28" i="2"/>
  <c r="U27" i="2"/>
  <c r="S27" i="2"/>
  <c r="M27" i="2"/>
  <c r="U26" i="2"/>
  <c r="S26" i="2"/>
  <c r="M26" i="2"/>
  <c r="U25" i="2"/>
  <c r="S25" i="2"/>
  <c r="M25" i="2"/>
  <c r="U24" i="2"/>
  <c r="M24" i="2"/>
  <c r="U22" i="2"/>
  <c r="U21" i="2"/>
  <c r="S22" i="2"/>
  <c r="M22" i="2"/>
  <c r="S21" i="2"/>
  <c r="M21" i="2"/>
  <c r="U16" i="2"/>
  <c r="S16" i="2"/>
  <c r="M16" i="2"/>
  <c r="V9" i="2" l="1"/>
  <c r="V42" i="2" l="1"/>
  <c r="V40" i="2"/>
  <c r="V41" i="2"/>
  <c r="V17" i="2"/>
  <c r="V15" i="2"/>
  <c r="V14" i="2"/>
  <c r="V10" i="2"/>
  <c r="AG28" i="2" l="1"/>
  <c r="AF28" i="2"/>
  <c r="AD28" i="2"/>
  <c r="Y28" i="2"/>
  <c r="X28" i="2"/>
  <c r="AF27" i="2"/>
  <c r="AE27" i="2"/>
  <c r="X27" i="2"/>
  <c r="AG26" i="2"/>
  <c r="AF26" i="2"/>
  <c r="AE26" i="2"/>
  <c r="AG25" i="2"/>
  <c r="AE25" i="2"/>
  <c r="AD25" i="2"/>
  <c r="Y25" i="2"/>
  <c r="X25" i="2"/>
  <c r="AF24" i="2"/>
  <c r="AE24" i="2"/>
  <c r="S24" i="2"/>
  <c r="Y24" i="2"/>
  <c r="X24" i="2"/>
  <c r="AF22" i="2"/>
  <c r="AD22" i="2"/>
  <c r="Y22" i="2"/>
  <c r="AF21" i="2"/>
  <c r="AE21" i="2"/>
  <c r="X21" i="2"/>
  <c r="U17" i="2"/>
  <c r="AF17" i="2" s="1"/>
  <c r="S17" i="2"/>
  <c r="N17" i="2"/>
  <c r="Y17" i="2" s="1"/>
  <c r="M17" i="2"/>
  <c r="AG16" i="2"/>
  <c r="AE16" i="2"/>
  <c r="AD16" i="2"/>
  <c r="Y16" i="2"/>
  <c r="X16" i="2"/>
  <c r="U15" i="2"/>
  <c r="S15" i="2"/>
  <c r="M15" i="2"/>
  <c r="X15" i="2" s="1"/>
  <c r="AG14" i="2"/>
  <c r="U14" i="2"/>
  <c r="AF14" i="2" s="1"/>
  <c r="T14" i="2"/>
  <c r="S14" i="2"/>
  <c r="M14" i="2"/>
  <c r="X14" i="2" s="1"/>
  <c r="N11" i="2"/>
  <c r="Y11" i="2" s="1"/>
  <c r="M11" i="2"/>
  <c r="AG10" i="2"/>
  <c r="U10" i="2"/>
  <c r="AF10" i="2" s="1"/>
  <c r="N10" i="2"/>
  <c r="Y10" i="2" s="1"/>
  <c r="M10" i="2"/>
  <c r="X10" i="2" s="1"/>
  <c r="AD45" i="2"/>
  <c r="AE45" i="2"/>
  <c r="AF45" i="2"/>
  <c r="AG45" i="2"/>
  <c r="AD46" i="2"/>
  <c r="AE46" i="2"/>
  <c r="AF46" i="2"/>
  <c r="AG46" i="2"/>
  <c r="AD47" i="2"/>
  <c r="AE47" i="2"/>
  <c r="AF47" i="2"/>
  <c r="AG47" i="2"/>
  <c r="AD48" i="2"/>
  <c r="AE48" i="2"/>
  <c r="AF48" i="2"/>
  <c r="AD32" i="2"/>
  <c r="AE32" i="2"/>
  <c r="AF32" i="2"/>
  <c r="AG32" i="2"/>
  <c r="AD33" i="2"/>
  <c r="AE33" i="2"/>
  <c r="AF33" i="2"/>
  <c r="AG33" i="2"/>
  <c r="AD34" i="2"/>
  <c r="AE34" i="2"/>
  <c r="AF34" i="2"/>
  <c r="AG34" i="2"/>
  <c r="AD35" i="2"/>
  <c r="AE35" i="2"/>
  <c r="AF35" i="2"/>
  <c r="AG35" i="2"/>
  <c r="AD36" i="2"/>
  <c r="AE36" i="2"/>
  <c r="AF36" i="2"/>
  <c r="AG36" i="2"/>
  <c r="AD37" i="2"/>
  <c r="AE37" i="2"/>
  <c r="AF37" i="2"/>
  <c r="AG37" i="2"/>
  <c r="AH37" i="2"/>
  <c r="AD38" i="2"/>
  <c r="AE38" i="2"/>
  <c r="AF38" i="2"/>
  <c r="AG38" i="2"/>
  <c r="AD39" i="2"/>
  <c r="AE39" i="2"/>
  <c r="AF39" i="2"/>
  <c r="AG39" i="2"/>
  <c r="AD40" i="2"/>
  <c r="AE40" i="2"/>
  <c r="AF40" i="2"/>
  <c r="AG40" i="2"/>
  <c r="AD41" i="2"/>
  <c r="AE41" i="2"/>
  <c r="AF41" i="2"/>
  <c r="AG41" i="2"/>
  <c r="AD42" i="2"/>
  <c r="AE42" i="2"/>
  <c r="AF42" i="2"/>
  <c r="AG42" i="2"/>
  <c r="AD9" i="2"/>
  <c r="AE9" i="2"/>
  <c r="AF9" i="2"/>
  <c r="AG9" i="2"/>
  <c r="AF11" i="2"/>
  <c r="AG11" i="2"/>
  <c r="AF12" i="2"/>
  <c r="AG12" i="2"/>
  <c r="AD14" i="2"/>
  <c r="AE14" i="2"/>
  <c r="AD15" i="2"/>
  <c r="AE15" i="2"/>
  <c r="AF15" i="2"/>
  <c r="AG15" i="2"/>
  <c r="AF16" i="2"/>
  <c r="AD17" i="2"/>
  <c r="AE17" i="2"/>
  <c r="AG17" i="2"/>
  <c r="AD18" i="2"/>
  <c r="AE18" i="2"/>
  <c r="AF18" i="2"/>
  <c r="AG18" i="2"/>
  <c r="AD19" i="2"/>
  <c r="AE19" i="2"/>
  <c r="AF19" i="2"/>
  <c r="AG19" i="2"/>
  <c r="AD21" i="2"/>
  <c r="AG21" i="2"/>
  <c r="AE22" i="2"/>
  <c r="AG22" i="2"/>
  <c r="AD23" i="2"/>
  <c r="AE23" i="2"/>
  <c r="AF23" i="2"/>
  <c r="AG23" i="2"/>
  <c r="AD24" i="2"/>
  <c r="AG24" i="2"/>
  <c r="AF25" i="2"/>
  <c r="AD26" i="2"/>
  <c r="AD27" i="2"/>
  <c r="AG27" i="2"/>
  <c r="AE28" i="2"/>
  <c r="Y48" i="2"/>
  <c r="X48" i="2"/>
  <c r="Y47" i="2"/>
  <c r="X47" i="2"/>
  <c r="Y46" i="2"/>
  <c r="X46" i="2"/>
  <c r="Y45" i="2"/>
  <c r="X45" i="2"/>
  <c r="Y42" i="2"/>
  <c r="X42" i="2"/>
  <c r="Y41" i="2"/>
  <c r="X41" i="2"/>
  <c r="Y40" i="2"/>
  <c r="X40" i="2"/>
  <c r="Y39" i="2"/>
  <c r="X39" i="2"/>
  <c r="Y38" i="2"/>
  <c r="X38" i="2"/>
  <c r="Y37" i="2"/>
  <c r="X37" i="2"/>
  <c r="Y36" i="2"/>
  <c r="X36" i="2"/>
  <c r="Y35" i="2"/>
  <c r="X35" i="2"/>
  <c r="Y34" i="2"/>
  <c r="X34" i="2"/>
  <c r="Y33" i="2"/>
  <c r="X33" i="2"/>
  <c r="Y32" i="2"/>
  <c r="X32" i="2"/>
  <c r="Y27" i="2"/>
  <c r="Y26" i="2"/>
  <c r="X26" i="2"/>
  <c r="Y23" i="2"/>
  <c r="X23" i="2"/>
  <c r="X22" i="2"/>
  <c r="Y21" i="2"/>
  <c r="Y19" i="2"/>
  <c r="X19" i="2"/>
  <c r="Y18" i="2"/>
  <c r="X18" i="2"/>
  <c r="X17" i="2"/>
  <c r="Y15" i="2"/>
  <c r="Y14" i="2"/>
  <c r="X11" i="2"/>
  <c r="Y9" i="2"/>
  <c r="X9" i="2"/>
  <c r="U9" i="2"/>
  <c r="T9" i="2"/>
  <c r="S9" i="2"/>
  <c r="N9" i="2"/>
  <c r="M9" i="2"/>
  <c r="W46" i="2" l="1"/>
  <c r="W47" i="2"/>
  <c r="AC43" i="2"/>
  <c r="AB43" i="2"/>
  <c r="AA43" i="2"/>
  <c r="Z43" i="2"/>
  <c r="AC29" i="2"/>
  <c r="AB29" i="2"/>
  <c r="AA29" i="2"/>
  <c r="AC28" i="2"/>
  <c r="AB28" i="2"/>
  <c r="AA28" i="2"/>
  <c r="Z28" i="2"/>
  <c r="AC27" i="2"/>
  <c r="AB27" i="2"/>
  <c r="AA27" i="2"/>
  <c r="Z27" i="2"/>
  <c r="AC26" i="2"/>
  <c r="AB26" i="2"/>
  <c r="AA26" i="2"/>
  <c r="Z26" i="2"/>
  <c r="AC25" i="2"/>
  <c r="AB25" i="2"/>
  <c r="AA25" i="2"/>
  <c r="Z25" i="2"/>
  <c r="AC24" i="2"/>
  <c r="AB24" i="2"/>
  <c r="AA24" i="2"/>
  <c r="Z24" i="2"/>
  <c r="AC23" i="2"/>
  <c r="AB23" i="2"/>
  <c r="AA23" i="2"/>
  <c r="Z23" i="2"/>
  <c r="AC22" i="2"/>
  <c r="AB22" i="2"/>
  <c r="AA22" i="2"/>
  <c r="Z22" i="2"/>
  <c r="AC21" i="2"/>
  <c r="AB21" i="2"/>
  <c r="AA21" i="2"/>
  <c r="Z21" i="2"/>
  <c r="AC17" i="2"/>
  <c r="AB17" i="2"/>
  <c r="AA17" i="2"/>
  <c r="Z17" i="2"/>
  <c r="AC16" i="2"/>
  <c r="AB16" i="2"/>
  <c r="AA16" i="2"/>
  <c r="Z16" i="2"/>
  <c r="AC15" i="2"/>
  <c r="AB15" i="2"/>
  <c r="AA15" i="2"/>
  <c r="Z15" i="2"/>
  <c r="AC14" i="2"/>
  <c r="AB14" i="2"/>
  <c r="AA14" i="2"/>
  <c r="Z14" i="2"/>
  <c r="AC13" i="2"/>
  <c r="AB13" i="2"/>
  <c r="AA13" i="2"/>
  <c r="Z13" i="2"/>
  <c r="C46" i="1" l="1"/>
  <c r="D46" i="1" s="1"/>
  <c r="AH47" i="2"/>
  <c r="C45" i="1"/>
  <c r="D45" i="1" s="1"/>
  <c r="AH46" i="2"/>
  <c r="U49" i="2"/>
  <c r="T49" i="2"/>
  <c r="S49" i="2"/>
  <c r="AD49" i="2" s="1"/>
  <c r="R49" i="2"/>
  <c r="AC49" i="2" s="1"/>
  <c r="Q49" i="2"/>
  <c r="P49" i="2"/>
  <c r="O49" i="2"/>
  <c r="Z49" i="2" s="1"/>
  <c r="N49" i="2"/>
  <c r="Y49" i="2" s="1"/>
  <c r="M49" i="2"/>
  <c r="X49" i="2" s="1"/>
  <c r="V48" i="2"/>
  <c r="W45" i="2"/>
  <c r="V43" i="2"/>
  <c r="AG43" i="2" s="1"/>
  <c r="U43" i="2"/>
  <c r="AF43" i="2" s="1"/>
  <c r="T43" i="2"/>
  <c r="AE43" i="2" s="1"/>
  <c r="S43" i="2"/>
  <c r="AD43" i="2" s="1"/>
  <c r="R43" i="2"/>
  <c r="Q43" i="2"/>
  <c r="P43" i="2"/>
  <c r="O43" i="2"/>
  <c r="N43" i="2"/>
  <c r="Y43" i="2" s="1"/>
  <c r="M43" i="2"/>
  <c r="X43" i="2" s="1"/>
  <c r="W42" i="2"/>
  <c r="AH42" i="2" s="1"/>
  <c r="W41" i="2"/>
  <c r="AH41" i="2" s="1"/>
  <c r="W40" i="2"/>
  <c r="AH40" i="2" s="1"/>
  <c r="W39" i="2"/>
  <c r="AH39" i="2" s="1"/>
  <c r="W38" i="2"/>
  <c r="AH38" i="2" s="1"/>
  <c r="W37" i="2"/>
  <c r="W36" i="2"/>
  <c r="AH36" i="2" s="1"/>
  <c r="W35" i="2"/>
  <c r="AH35" i="2" s="1"/>
  <c r="W34" i="2"/>
  <c r="AH34" i="2" s="1"/>
  <c r="W33" i="2"/>
  <c r="AH33" i="2" s="1"/>
  <c r="W32" i="2"/>
  <c r="AH32" i="2" s="1"/>
  <c r="V29" i="2"/>
  <c r="AG29" i="2" s="1"/>
  <c r="U29" i="2"/>
  <c r="AF29" i="2" s="1"/>
  <c r="T29" i="2"/>
  <c r="AE29" i="2" s="1"/>
  <c r="S29" i="2"/>
  <c r="AD29" i="2" s="1"/>
  <c r="R29" i="2"/>
  <c r="Q29" i="2"/>
  <c r="P29" i="2"/>
  <c r="O29" i="2"/>
  <c r="Z29" i="2" s="1"/>
  <c r="N29" i="2"/>
  <c r="Y29" i="2" s="1"/>
  <c r="M29" i="2"/>
  <c r="X29" i="2" s="1"/>
  <c r="W28" i="2"/>
  <c r="W27" i="2"/>
  <c r="W26" i="2"/>
  <c r="W25" i="2"/>
  <c r="W24" i="2"/>
  <c r="W23" i="2"/>
  <c r="AH23" i="2" s="1"/>
  <c r="W22" i="2"/>
  <c r="W21" i="2"/>
  <c r="V20" i="2"/>
  <c r="AG20" i="2" s="1"/>
  <c r="U20" i="2"/>
  <c r="AF20" i="2" s="1"/>
  <c r="T20" i="2"/>
  <c r="S20" i="2"/>
  <c r="R20" i="2"/>
  <c r="Q20" i="2"/>
  <c r="AB20" i="2" s="1"/>
  <c r="P20" i="2"/>
  <c r="AA20" i="2" s="1"/>
  <c r="O20" i="2"/>
  <c r="Z20" i="2" s="1"/>
  <c r="N20" i="2"/>
  <c r="Y20" i="2" s="1"/>
  <c r="M20" i="2"/>
  <c r="X20" i="2" s="1"/>
  <c r="W19" i="2"/>
  <c r="W18" i="2"/>
  <c r="AH18" i="2" s="1"/>
  <c r="W17" i="2"/>
  <c r="AH17" i="2" s="1"/>
  <c r="W16" i="2"/>
  <c r="W15" i="2"/>
  <c r="AH15" i="2" s="1"/>
  <c r="W14" i="2"/>
  <c r="AH14" i="2" s="1"/>
  <c r="V13" i="2"/>
  <c r="AG13" i="2" s="1"/>
  <c r="U13" i="2"/>
  <c r="AF13" i="2" s="1"/>
  <c r="T13" i="2"/>
  <c r="AE13" i="2" s="1"/>
  <c r="S13" i="2"/>
  <c r="AD13" i="2" s="1"/>
  <c r="R13" i="2"/>
  <c r="Q13" i="2"/>
  <c r="P13" i="2"/>
  <c r="O13" i="2"/>
  <c r="N13" i="2"/>
  <c r="Y13" i="2" s="1"/>
  <c r="M13" i="2"/>
  <c r="X13" i="2" s="1"/>
  <c r="W12" i="2"/>
  <c r="AH12" i="2" s="1"/>
  <c r="W11" i="2"/>
  <c r="AH11" i="2" s="1"/>
  <c r="W10" i="2"/>
  <c r="AH10" i="2" s="1"/>
  <c r="W9" i="2"/>
  <c r="AH9" i="2" s="1"/>
  <c r="G42" i="5"/>
  <c r="F42" i="5"/>
  <c r="E42" i="5"/>
  <c r="D42" i="5"/>
  <c r="C42" i="5"/>
  <c r="B42" i="5"/>
  <c r="E29" i="5"/>
  <c r="G29" i="5" s="1"/>
  <c r="D29" i="5"/>
  <c r="F29" i="5" s="1"/>
  <c r="G12" i="5"/>
  <c r="F12" i="5"/>
  <c r="E48" i="4"/>
  <c r="G48" i="4" s="1"/>
  <c r="D48" i="4"/>
  <c r="F48" i="4" s="1"/>
  <c r="C48" i="4"/>
  <c r="B48" i="4"/>
  <c r="F42" i="4"/>
  <c r="E42" i="4"/>
  <c r="D42" i="4"/>
  <c r="C42" i="4"/>
  <c r="B42" i="4"/>
  <c r="G48" i="3"/>
  <c r="F48" i="3"/>
  <c r="E48" i="3"/>
  <c r="D48" i="3"/>
  <c r="C48" i="3"/>
  <c r="G42" i="3"/>
  <c r="F42" i="3"/>
  <c r="E42" i="3"/>
  <c r="D42" i="3"/>
  <c r="C42" i="3"/>
  <c r="B42" i="3"/>
  <c r="G28" i="3"/>
  <c r="F28" i="3"/>
  <c r="C28" i="3"/>
  <c r="B28" i="3"/>
  <c r="C19" i="3"/>
  <c r="G19" i="3" s="1"/>
  <c r="B19" i="3"/>
  <c r="F19" i="3" s="1"/>
  <c r="C12" i="3"/>
  <c r="G12" i="3" s="1"/>
  <c r="B12" i="3"/>
  <c r="F12" i="3" s="1"/>
  <c r="J49" i="2"/>
  <c r="I49" i="2"/>
  <c r="H49" i="2"/>
  <c r="G49" i="2"/>
  <c r="F49" i="2"/>
  <c r="E49" i="2"/>
  <c r="D49" i="2"/>
  <c r="C49" i="2"/>
  <c r="B49" i="2"/>
  <c r="K48" i="2"/>
  <c r="L48" i="2" s="1"/>
  <c r="L45" i="2"/>
  <c r="K43" i="2"/>
  <c r="J43" i="2"/>
  <c r="I43" i="2"/>
  <c r="H43" i="2"/>
  <c r="G43" i="2"/>
  <c r="F43" i="2"/>
  <c r="E43" i="2"/>
  <c r="D43" i="2"/>
  <c r="C43" i="2"/>
  <c r="B43" i="2"/>
  <c r="L42" i="2"/>
  <c r="L41" i="2"/>
  <c r="L40" i="2"/>
  <c r="L39" i="2"/>
  <c r="L38" i="2"/>
  <c r="L37" i="2"/>
  <c r="L36" i="2"/>
  <c r="L35" i="2"/>
  <c r="L34" i="2"/>
  <c r="L33" i="2"/>
  <c r="L32" i="2"/>
  <c r="K29" i="2"/>
  <c r="J29" i="2"/>
  <c r="I29" i="2"/>
  <c r="H29" i="2"/>
  <c r="G29" i="2"/>
  <c r="F29" i="2"/>
  <c r="E29" i="2"/>
  <c r="D29" i="2"/>
  <c r="C29" i="2"/>
  <c r="B29" i="2"/>
  <c r="L28" i="2"/>
  <c r="L27" i="2"/>
  <c r="L26" i="2"/>
  <c r="L25" i="2"/>
  <c r="L24" i="2"/>
  <c r="L23" i="2"/>
  <c r="L22" i="2"/>
  <c r="L21" i="2"/>
  <c r="K20" i="2"/>
  <c r="J20" i="2"/>
  <c r="I20" i="2"/>
  <c r="H20" i="2"/>
  <c r="G20" i="2"/>
  <c r="F20" i="2"/>
  <c r="E20" i="2"/>
  <c r="D20" i="2"/>
  <c r="C20" i="2"/>
  <c r="B20" i="2"/>
  <c r="L19" i="2"/>
  <c r="L18" i="2"/>
  <c r="L17" i="2"/>
  <c r="L16" i="2"/>
  <c r="L15" i="2"/>
  <c r="L14" i="2"/>
  <c r="K13" i="2"/>
  <c r="J13" i="2"/>
  <c r="I13" i="2"/>
  <c r="H13" i="2"/>
  <c r="G13" i="2"/>
  <c r="F13" i="2"/>
  <c r="E13" i="2"/>
  <c r="D13" i="2"/>
  <c r="C13" i="2"/>
  <c r="B13" i="2"/>
  <c r="L12" i="2"/>
  <c r="L11" i="2"/>
  <c r="L10" i="2"/>
  <c r="L9" i="2"/>
  <c r="AC20" i="2" l="1"/>
  <c r="AD20" i="2"/>
  <c r="C18" i="1"/>
  <c r="AH19" i="2"/>
  <c r="AE20" i="2"/>
  <c r="AE49" i="2"/>
  <c r="AF49" i="2"/>
  <c r="C44" i="1"/>
  <c r="AH45" i="2"/>
  <c r="AA49" i="2"/>
  <c r="AB49" i="2"/>
  <c r="E49" i="5"/>
  <c r="B49" i="4"/>
  <c r="C49" i="4"/>
  <c r="D49" i="4"/>
  <c r="F49" i="4" s="1"/>
  <c r="E49" i="4"/>
  <c r="G49" i="4" s="1"/>
  <c r="B48" i="3"/>
  <c r="B29" i="3"/>
  <c r="D49" i="3"/>
  <c r="C29" i="3"/>
  <c r="AH16" i="2"/>
  <c r="AH28" i="2"/>
  <c r="AH27" i="2"/>
  <c r="AH26" i="2"/>
  <c r="AH25" i="2"/>
  <c r="AH24" i="2"/>
  <c r="AH21" i="2"/>
  <c r="AH22" i="2"/>
  <c r="B49" i="5"/>
  <c r="V49" i="2"/>
  <c r="AG48" i="2"/>
  <c r="R30" i="2"/>
  <c r="W20" i="2"/>
  <c r="W43" i="2"/>
  <c r="AH43" i="2" s="1"/>
  <c r="S30" i="2"/>
  <c r="T30" i="2"/>
  <c r="M30" i="2"/>
  <c r="U30" i="2"/>
  <c r="W48" i="2"/>
  <c r="C47" i="1" s="1"/>
  <c r="D47" i="1" s="1"/>
  <c r="V30" i="2"/>
  <c r="W29" i="2"/>
  <c r="AH29" i="2" s="1"/>
  <c r="N30" i="2"/>
  <c r="W13" i="2"/>
  <c r="AH13" i="2" s="1"/>
  <c r="O30" i="2"/>
  <c r="P30" i="2"/>
  <c r="Q30" i="2"/>
  <c r="H30" i="2"/>
  <c r="H50" i="2" s="1"/>
  <c r="L20" i="2"/>
  <c r="C30" i="2"/>
  <c r="C50" i="2" s="1"/>
  <c r="K30" i="2"/>
  <c r="C49" i="5"/>
  <c r="D49" i="5"/>
  <c r="G42" i="4"/>
  <c r="E49" i="3"/>
  <c r="G30" i="2"/>
  <c r="G50" i="2" s="1"/>
  <c r="L29" i="2"/>
  <c r="E30" i="2"/>
  <c r="E50" i="2" s="1"/>
  <c r="F30" i="2"/>
  <c r="F50" i="2" s="1"/>
  <c r="L13" i="2"/>
  <c r="B30" i="2"/>
  <c r="B50" i="2" s="1"/>
  <c r="J30" i="2"/>
  <c r="J50" i="2" s="1"/>
  <c r="D30" i="2"/>
  <c r="D50" i="2" s="1"/>
  <c r="I30" i="2"/>
  <c r="I50" i="2" s="1"/>
  <c r="L49" i="2"/>
  <c r="L43" i="2"/>
  <c r="K49" i="2"/>
  <c r="D18" i="1" l="1"/>
  <c r="D19" i="1" s="1"/>
  <c r="D29" i="1" s="1"/>
  <c r="C19" i="1"/>
  <c r="C29" i="1" s="1"/>
  <c r="AH20" i="2"/>
  <c r="D44" i="1"/>
  <c r="D48" i="1" s="1"/>
  <c r="C48" i="1"/>
  <c r="C49" i="1" s="1"/>
  <c r="D49" i="1" s="1"/>
  <c r="B49" i="3"/>
  <c r="F29" i="3"/>
  <c r="F49" i="3" s="1"/>
  <c r="C49" i="3"/>
  <c r="G29" i="3"/>
  <c r="G49" i="3" s="1"/>
  <c r="G49" i="5"/>
  <c r="F49" i="5"/>
  <c r="W49" i="2"/>
  <c r="AH49" i="2" s="1"/>
  <c r="AH48" i="2"/>
  <c r="AG49" i="2"/>
  <c r="T50" i="2"/>
  <c r="AE30" i="2"/>
  <c r="S50" i="2"/>
  <c r="AD50" i="2" s="1"/>
  <c r="AD30" i="2"/>
  <c r="U50" i="2"/>
  <c r="AF50" i="2" s="1"/>
  <c r="AF30" i="2"/>
  <c r="V50" i="2"/>
  <c r="AG30" i="2"/>
  <c r="M50" i="2"/>
  <c r="X50" i="2" s="1"/>
  <c r="X30" i="2"/>
  <c r="N50" i="2"/>
  <c r="Y30" i="2"/>
  <c r="Q50" i="2"/>
  <c r="AB50" i="2" s="1"/>
  <c r="AB30" i="2"/>
  <c r="P50" i="2"/>
  <c r="AA30" i="2"/>
  <c r="O50" i="2"/>
  <c r="Z50" i="2" s="1"/>
  <c r="Z30" i="2"/>
  <c r="R50" i="2"/>
  <c r="AC30" i="2"/>
  <c r="W30" i="2"/>
  <c r="K50" i="2"/>
  <c r="L30" i="2"/>
  <c r="L50" i="2" s="1"/>
  <c r="B42" i="1"/>
  <c r="B48" i="1"/>
  <c r="AC50" i="2" l="1"/>
  <c r="AA50" i="2"/>
  <c r="AG50" i="2"/>
  <c r="AE50" i="2"/>
  <c r="Y50" i="2"/>
  <c r="W50" i="2"/>
  <c r="AH30" i="2"/>
  <c r="B19" i="1"/>
  <c r="B12" i="1"/>
  <c r="B28" i="1"/>
  <c r="AH50" i="2" l="1"/>
  <c r="B29" i="1"/>
  <c r="B49" i="1" l="1"/>
</calcChain>
</file>

<file path=xl/comments1.xml><?xml version="1.0" encoding="utf-8"?>
<comments xmlns="http://schemas.openxmlformats.org/spreadsheetml/2006/main">
  <authors>
    <author>kazanceva</author>
  </authors>
  <commentList>
    <comment ref="AG9" authorId="0" shapeId="0">
      <text>
        <r>
          <rPr>
            <b/>
            <sz val="9"/>
            <color indexed="81"/>
            <rFont val="Tahoma"/>
            <family val="2"/>
            <charset val="204"/>
          </rPr>
          <t>kazanceva:</t>
        </r>
        <r>
          <rPr>
            <sz val="9"/>
            <color indexed="81"/>
            <rFont val="Tahoma"/>
            <family val="2"/>
            <charset val="204"/>
          </rPr>
          <t xml:space="preserve">
Диализ - 44,4 млн., выполнение 0,14 млн</t>
        </r>
      </text>
    </comment>
  </commentList>
</comments>
</file>

<file path=xl/sharedStrings.xml><?xml version="1.0" encoding="utf-8"?>
<sst xmlns="http://schemas.openxmlformats.org/spreadsheetml/2006/main" count="663" uniqueCount="149">
  <si>
    <t>Наименование учреждения</t>
  </si>
  <si>
    <t>комплексное посещение для проведения профилактических медицинских осмотров</t>
  </si>
  <si>
    <t>комплексное посещение в рамках диспансеризации</t>
  </si>
  <si>
    <t>неотложня помощь</t>
  </si>
  <si>
    <t>обращения по заболеваниям</t>
  </si>
  <si>
    <t>всего</t>
  </si>
  <si>
    <t>кол-во     законченных случаев</t>
  </si>
  <si>
    <t>стоимость  тыс.руб.</t>
  </si>
  <si>
    <t>кол-во      посещений</t>
  </si>
  <si>
    <t>кол-во      комплексных посещений</t>
  </si>
  <si>
    <t>кол-во      обращений</t>
  </si>
  <si>
    <t>1</t>
  </si>
  <si>
    <t>ГБУЗ "Магаданская областная больница"</t>
  </si>
  <si>
    <t>ГБУЗ "Магаданский областной онкологический диспансер"</t>
  </si>
  <si>
    <t>Центр здоровья при ГБУЗ "Магаданский областной центр медицинской профилактики"</t>
  </si>
  <si>
    <t>ИТОГО по областным учреждениям:</t>
  </si>
  <si>
    <t>ГБУЗ "Магаданская областная детская больница"</t>
  </si>
  <si>
    <t>ОГБУЗ "Магаданский родильный дом"</t>
  </si>
  <si>
    <t>МОГБУЗ "МСЧ "Авиамедицина"</t>
  </si>
  <si>
    <t>МОГБУЗ "Поликлиника № 1"</t>
  </si>
  <si>
    <t>МОГБУЗ "Стоматологическая поликлиника"</t>
  </si>
  <si>
    <t>МОГБУЗ "Станция скорой медицинской помощи"</t>
  </si>
  <si>
    <t>ИТОГО по учреждениям г.Магадана</t>
  </si>
  <si>
    <t>МОГБУЗ "Ольская РБ"</t>
  </si>
  <si>
    <t>МОГБУЗ "Омсукчанская РБ"</t>
  </si>
  <si>
    <t>МОГБУЗ "Северо-Эвенская РБ"</t>
  </si>
  <si>
    <t>МОГБУЗ "Среднеканская РБ"</t>
  </si>
  <si>
    <t>МОГБУЗ "Сусуманская РБ"</t>
  </si>
  <si>
    <t>МОГБУЗ "Тенькинская  РБ"</t>
  </si>
  <si>
    <t>МОГБУЗ "Ягоднинская РБ"</t>
  </si>
  <si>
    <t>ИТОГО по районам:</t>
  </si>
  <si>
    <t>ООО "ВИТА"</t>
  </si>
  <si>
    <t>ООО "Вита-Дент"</t>
  </si>
  <si>
    <t>ООО "Дантист"</t>
  </si>
  <si>
    <t>ООО "Дантист-Плюс"</t>
  </si>
  <si>
    <t>ООО "Дантист XXI век"</t>
  </si>
  <si>
    <t>ООО "Стоматологический кабинет "Доверие"</t>
  </si>
  <si>
    <t>ООО "Кристалл"</t>
  </si>
  <si>
    <t>ООО "МРТ-Магадан"</t>
  </si>
  <si>
    <t>ООО "ЮНИЛАБ - Хабаровск"</t>
  </si>
  <si>
    <t>ИТОГО ЛПУ других ведомств, учреждения частной системы здравоохранения:</t>
  </si>
  <si>
    <t>ЛПУ вошедшие в реестр медицинских организаций, осуществляющих деятельность в сфере ОМС Магаданской области,оказывающие медицинскую помощь за пределами Магаданской области</t>
  </si>
  <si>
    <t>ООО "МАК ЭКО"</t>
  </si>
  <si>
    <t>ООО "ЭКО-ЦЕНТР"</t>
  </si>
  <si>
    <t>АО "Центр семейной медицины"</t>
  </si>
  <si>
    <t>ООО "Балтийская медицинская компания"</t>
  </si>
  <si>
    <t>ИТОГО ЛПУ других территорий:</t>
  </si>
  <si>
    <t>ИТОГО ПО ОБЛАСТИ с учётом ЛПУ других ведомств, учреждений частной системы здравоохранения:</t>
  </si>
  <si>
    <t xml:space="preserve"> посещения с иной целью</t>
  </si>
  <si>
    <t>ГБУЗ "МОЦ профилактики и борьбы со СПИД"</t>
  </si>
  <si>
    <t>МОГАУЗ "Хасынская РБ"</t>
  </si>
  <si>
    <t>Учреждения частной системы здравоохранения и иных ведомств:</t>
  </si>
  <si>
    <t>ФБУЗ"Центр гигиены и эпидемиологии в Магаданской области"</t>
  </si>
  <si>
    <t>ООО "Мой доктор"</t>
  </si>
  <si>
    <t>ЗА 9 МЕСЯЦЕВ 2020 ГОДА</t>
  </si>
  <si>
    <t>ПЛАН НА 2020 ГОД</t>
  </si>
  <si>
    <t>ФАКТ ЗА 9 МЕСЯЦЕВ  2020 ГОДА</t>
  </si>
  <si>
    <t>ПРОЦЕНТ ИСПОЛНЕНИЯ</t>
  </si>
  <si>
    <t>ВСЕГО</t>
  </si>
  <si>
    <t>2</t>
  </si>
  <si>
    <t>3</t>
  </si>
  <si>
    <t>ИСПОЛНЕНО ЗА 9 МЕСЯЦЕВ 2020 ГОДА</t>
  </si>
  <si>
    <t>ИТОГО ПО МО ОБЛАСТНОГО ПОДЧИНЕНИЯ:</t>
  </si>
  <si>
    <t>АНАЛИЗ ИСПОЛНЕНИЯ ОСНОВНЫХ ПОКАЗАТЕЛЕЙ ПО СТАЦИОНАРНОЙ МЕДИЦИНСКОЙ ПОМОЩИ, С УЧЁТОМ  ЛЕЧЕНИЯ ИНОГОРОДНИХ ГРАЖДАН</t>
  </si>
  <si>
    <t>АНАЛИЗ ИСПОЛНЕНИЯ ОСНОВНЫХ ПОКАЗАТЕЛЕЙ ПО АМБУЛАТОРНОЙ МЕДИЦИНСКОЙ ПОМОЩИ, С УЧЁТОМ  ЛЕЧЕНИЯ ИНОГОРОДНИХ ГРАЖДАН</t>
  </si>
  <si>
    <t>ПРОЦЕНТ ВЫПОЛНЕНИЯ</t>
  </si>
  <si>
    <t>АНАЛИЗ ИСПОЛНЕНИЯ ОСНОВНЫХ ПОКАЗАТЕЛЕЙ ПО МЕДИЦИНСКОЙ ПОМОЩИ В УСЛОВИЯХ ДНЕВНОГО СТАЦИОНАРА, С УЧЁТОМ  ЛЕЧЕНИЯ ИНОГОРОДНИХ ГРАЖДАН</t>
  </si>
  <si>
    <t>АНАЛИЗ ИСПОЛНЕНИЯ ОСНОВНЫХ ПОКАЗАТЕЛЕЙ ПО СКОРОЙ МЕДИЦИНСКОЙ ПОМОЩИ, С УЧЁТОМ  ЛЕЧЕНИЯ ИНОГОРОДНИХ ГРАЖДАН</t>
  </si>
  <si>
    <t>ВЫЗОВОВ</t>
  </si>
  <si>
    <t>АНАЛИЗ ОСВОЕНИЯ МЕДИЦИНСКИМИ ОРГАНИЗАЦИЯМИ СРЕДСТВ ОБЯЗАТЕЛЬНОГО МЕДИЦИНСКОГО СТРАХОВАНИЯ,  С УЧЁТОМ ЛЕЧЕНИЯ ИНОГОРОДНИХ ГРАЖДАН</t>
  </si>
  <si>
    <t xml:space="preserve">ПРИЛОЖЕНИЕ </t>
  </si>
  <si>
    <t>к вопросу № 14-04</t>
  </si>
  <si>
    <t>от 30 октября 2020 года</t>
  </si>
  <si>
    <t>АНАЛИЗ</t>
  </si>
  <si>
    <t>ИСПОЛНЕНИЯ ТЕРРИТОРИАЛЬНОЙ ПРОГРАММЫ ОБЯЗАТЕЛЬНОГО МЕДИЦИНСКОГО СТРАХОВАНИЯ МАГАДАНСКОЙ ОБЛАСТИ</t>
  </si>
  <si>
    <t>ЗА ЯНВАРЬ-СЕНТЯБРЬ 2020 ГОДА</t>
  </si>
  <si>
    <t>Условия оказания медицинской помощи (единицы измерения)</t>
  </si>
  <si>
    <t>Утверждено согласно ТПГГ</t>
  </si>
  <si>
    <t>Исполнено за 9 мес. 2020 года (ФФМПП)</t>
  </si>
  <si>
    <t>Процент исполнения</t>
  </si>
  <si>
    <t>объем</t>
  </si>
  <si>
    <t>финансовые затраты, тыс. рублей</t>
  </si>
  <si>
    <t>А</t>
  </si>
  <si>
    <t>х</t>
  </si>
  <si>
    <t>Амбулаторные</t>
  </si>
  <si>
    <t>посещение с профилактической целью том числе:</t>
  </si>
  <si>
    <t xml:space="preserve"> комплексное посещение в рамках диспансеризации</t>
  </si>
  <si>
    <t xml:space="preserve"> посещение для проведения профилактических медицинских осмотров </t>
  </si>
  <si>
    <t>посещения с иными целями</t>
  </si>
  <si>
    <t>посещение в неотложной форме</t>
  </si>
  <si>
    <t>обращение с заболеванием</t>
  </si>
  <si>
    <t>Стационар</t>
  </si>
  <si>
    <t>случай госпитализации, в том числе:</t>
  </si>
  <si>
    <r>
      <t xml:space="preserve"> </t>
    </r>
    <r>
      <rPr>
        <i/>
        <sz val="11"/>
        <color rgb="FF000000"/>
        <rFont val="Times New Roman"/>
        <family val="1"/>
        <charset val="204"/>
      </rPr>
      <t>«Онкология»</t>
    </r>
    <r>
      <rPr>
        <i/>
        <sz val="10"/>
        <color rgb="FF000000"/>
        <rFont val="Times New Roman"/>
        <family val="1"/>
        <charset val="204"/>
      </rPr>
      <t xml:space="preserve"> </t>
    </r>
  </si>
  <si>
    <t xml:space="preserve">Медицинская реабилитация </t>
  </si>
  <si>
    <t>Дневной стационар</t>
  </si>
  <si>
    <t>случай лечения                      том числе:</t>
  </si>
  <si>
    <t xml:space="preserve"> «Онкология» (случай лечения)</t>
  </si>
  <si>
    <t>ЭКО (случай лечения)</t>
  </si>
  <si>
    <t>Скорая помощь</t>
  </si>
  <si>
    <t>вызов</t>
  </si>
  <si>
    <t>на 01 октября 2020 года</t>
  </si>
  <si>
    <t>(форма заполняется в разрезе медицинских организаций, имеющих просроченную кредиторскую задолженность)*</t>
  </si>
  <si>
    <t>тысяч рублей</t>
  </si>
  <si>
    <t>№ п/п</t>
  </si>
  <si>
    <t xml:space="preserve">Состав кредиторской задолженности                                  </t>
  </si>
  <si>
    <t>Кредиторская задолженность,                ВСЕГО</t>
  </si>
  <si>
    <t>в том числе:</t>
  </si>
  <si>
    <t>Исполнение ТПОМС</t>
  </si>
  <si>
    <t>за счет средств бюджета субъекта РФ</t>
  </si>
  <si>
    <t>за счет средств ОМС</t>
  </si>
  <si>
    <t>за счет средств от предпринимательской деятельности</t>
  </si>
  <si>
    <t>из нее просроченная кредиторская задолженность:</t>
  </si>
  <si>
    <r>
      <t>Плановый объем по ОМС</t>
    </r>
    <r>
      <rPr>
        <b/>
        <sz val="9"/>
        <color rgb="FFFF0000"/>
        <rFont val="Times New Roman"/>
        <family val="1"/>
        <charset val="204"/>
      </rPr>
      <t xml:space="preserve"> на год</t>
    </r>
    <r>
      <rPr>
        <b/>
        <sz val="9"/>
        <rFont val="Times New Roman"/>
        <family val="1"/>
      </rPr>
      <t xml:space="preserve">
(в соответвтии с планом ФХД, действующий 01.10.2020)</t>
    </r>
  </si>
  <si>
    <r>
      <t>Плановый объем по ОМС</t>
    </r>
    <r>
      <rPr>
        <b/>
        <sz val="9"/>
        <color rgb="FFFF0000"/>
        <rFont val="Times New Roman"/>
        <family val="1"/>
        <charset val="204"/>
      </rPr>
      <t xml:space="preserve"> на 9 месяцев</t>
    </r>
    <r>
      <rPr>
        <b/>
        <sz val="9"/>
        <rFont val="Times New Roman"/>
        <family val="1"/>
      </rPr>
      <t xml:space="preserve">
(в соответвтии с планом ФХД, действующий 01.10.2020)</t>
    </r>
  </si>
  <si>
    <t>Фактический объем
по ОМС
на 01.10.2020</t>
  </si>
  <si>
    <t>% исполнения (факт)</t>
  </si>
  <si>
    <t>Исполнено
на 01.10.2020</t>
  </si>
  <si>
    <t>% исполнения (касса)</t>
  </si>
  <si>
    <t>3 = 4 + 5 + 6</t>
  </si>
  <si>
    <t>7 = 8 + 9 + 10</t>
  </si>
  <si>
    <t>010</t>
  </si>
  <si>
    <t>Кредиторская задолженность - всего</t>
  </si>
  <si>
    <t>011</t>
  </si>
  <si>
    <t>коммунальные услуги</t>
  </si>
  <si>
    <t>012</t>
  </si>
  <si>
    <t>работы и услуги по содержанию имущества</t>
  </si>
  <si>
    <t>013</t>
  </si>
  <si>
    <t xml:space="preserve">по оплате труда </t>
  </si>
  <si>
    <t>014</t>
  </si>
  <si>
    <t>по  страховым взносам в государственные внебюджетные фонды</t>
  </si>
  <si>
    <t>015</t>
  </si>
  <si>
    <t>по налогам и сборам</t>
  </si>
  <si>
    <t>016</t>
  </si>
  <si>
    <t>по прочим кредиторам</t>
  </si>
  <si>
    <t>ГБУЗ "Магаданский областной центр медицинской профилактики"</t>
  </si>
  <si>
    <t>МОГБУЗ "Тенькинская РБ"</t>
  </si>
  <si>
    <t>МОГБУЗ "Хасынская РБ"</t>
  </si>
  <si>
    <t>СВОД</t>
  </si>
  <si>
    <t>*не вошли данные только о ГБУЗ «Магаданский областной онкологический диспансер», т.к. на 01.10.2020г. данное МО не имело просроченной КЗ ни по одному из источников финансирования</t>
  </si>
  <si>
    <t xml:space="preserve">АНАЛИЗ ФИНАНСОВОЙ УСТОЙЧИВОСТИ </t>
  </si>
  <si>
    <t>МЕДИЦИНСКИХ ОРГАНИЗАЦИЙ ОБЛАСТНОГО ПОДЧИНЕНИЯ, ОСУЩЕСТВЛЯЮЩИХ ДЕЯТЕЛЬНОСТЬ В СФЕРЕ ОБЯЗАТЕЛЬНОГО МЕДИЦИНСКОГО СТРАХОВАНИЯ В 2020 ГОДУ</t>
  </si>
  <si>
    <t>Таблица 1.</t>
  </si>
  <si>
    <t>Таблица 2</t>
  </si>
  <si>
    <t>Таблица 3</t>
  </si>
  <si>
    <t>Таблица 4</t>
  </si>
  <si>
    <t>Таблица 5</t>
  </si>
  <si>
    <t>Таблица 6</t>
  </si>
  <si>
    <t>Таблица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</si>
</sst>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"/>
    <numFmt numFmtId="166" formatCode="0.0%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u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b/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9"/>
      <color rgb="FFFF0000"/>
      <name val="Times New Roman"/>
      <family val="1"/>
      <charset val="204"/>
    </font>
    <font>
      <i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232627"/>
      </right>
      <top style="thin">
        <color rgb="FF232627"/>
      </top>
      <bottom style="thin">
        <color rgb="FF232627"/>
      </bottom>
      <diagonal/>
    </border>
    <border>
      <left style="thin">
        <color rgb="FF232627"/>
      </left>
      <right style="medium">
        <color indexed="64"/>
      </right>
      <top style="thin">
        <color rgb="FF232627"/>
      </top>
      <bottom style="thin">
        <color rgb="FF232627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232627"/>
      </right>
      <top style="thin">
        <color rgb="FF232627"/>
      </top>
      <bottom style="medium">
        <color indexed="64"/>
      </bottom>
      <diagonal/>
    </border>
    <border>
      <left style="thin">
        <color rgb="FF232627"/>
      </left>
      <right style="medium">
        <color indexed="64"/>
      </right>
      <top style="thin">
        <color rgb="FF232627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9" fontId="2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21" fillId="0" borderId="0"/>
    <xf numFmtId="0" fontId="36" fillId="0" borderId="0"/>
    <xf numFmtId="0" fontId="31" fillId="0" borderId="0"/>
  </cellStyleXfs>
  <cellXfs count="3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" fontId="4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6" fillId="0" borderId="7" xfId="0" applyNumberFormat="1" applyFont="1" applyBorder="1" applyAlignment="1">
      <alignment vertical="center" wrapText="1"/>
    </xf>
    <xf numFmtId="3" fontId="8" fillId="0" borderId="7" xfId="0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4" fontId="6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2" fillId="0" borderId="0" xfId="0" applyNumberFormat="1" applyFont="1"/>
    <xf numFmtId="4" fontId="6" fillId="0" borderId="11" xfId="0" applyNumberFormat="1" applyFont="1" applyBorder="1" applyAlignment="1">
      <alignment vertical="center" wrapText="1"/>
    </xf>
    <xf numFmtId="3" fontId="8" fillId="0" borderId="12" xfId="0" applyNumberFormat="1" applyFont="1" applyBorder="1" applyAlignment="1">
      <alignment vertical="center" wrapText="1"/>
    </xf>
    <xf numFmtId="4" fontId="9" fillId="0" borderId="12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vertical="center" wrapText="1"/>
    </xf>
    <xf numFmtId="4" fontId="6" fillId="0" borderId="13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vertical="center" wrapText="1"/>
    </xf>
    <xf numFmtId="4" fontId="6" fillId="0" borderId="14" xfId="0" applyNumberFormat="1" applyFont="1" applyBorder="1" applyAlignment="1">
      <alignment vertical="center" wrapText="1"/>
    </xf>
    <xf numFmtId="3" fontId="8" fillId="0" borderId="15" xfId="0" applyNumberFormat="1" applyFont="1" applyBorder="1" applyAlignment="1">
      <alignment vertical="center" wrapText="1"/>
    </xf>
    <xf numFmtId="4" fontId="9" fillId="0" borderId="15" xfId="0" applyNumberFormat="1" applyFont="1" applyBorder="1" applyAlignment="1">
      <alignment vertical="center" wrapText="1"/>
    </xf>
    <xf numFmtId="3" fontId="12" fillId="0" borderId="0" xfId="0" applyNumberFormat="1" applyFont="1"/>
    <xf numFmtId="4" fontId="6" fillId="0" borderId="6" xfId="0" applyNumberFormat="1" applyFont="1" applyBorder="1" applyAlignment="1">
      <alignment vertical="center" wrapText="1"/>
    </xf>
    <xf numFmtId="3" fontId="8" fillId="0" borderId="6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vertical="center" wrapText="1"/>
    </xf>
    <xf numFmtId="4" fontId="3" fillId="0" borderId="16" xfId="0" applyNumberFormat="1" applyFont="1" applyBorder="1" applyAlignment="1">
      <alignment horizontal="right" vertical="center" wrapText="1"/>
    </xf>
    <xf numFmtId="3" fontId="3" fillId="0" borderId="0" xfId="0" applyNumberFormat="1" applyFont="1"/>
    <xf numFmtId="4" fontId="3" fillId="0" borderId="17" xfId="0" applyNumberFormat="1" applyFont="1" applyBorder="1" applyAlignment="1">
      <alignment horizontal="right" vertical="center" wrapText="1"/>
    </xf>
    <xf numFmtId="0" fontId="6" fillId="0" borderId="7" xfId="0" applyFont="1" applyBorder="1" applyAlignment="1" applyProtection="1">
      <alignment vertical="center" wrapText="1"/>
      <protection locked="0"/>
    </xf>
    <xf numFmtId="3" fontId="8" fillId="0" borderId="7" xfId="0" applyNumberFormat="1" applyFont="1" applyBorder="1" applyAlignment="1" applyProtection="1">
      <alignment vertical="center" wrapText="1"/>
      <protection locked="0"/>
    </xf>
    <xf numFmtId="4" fontId="9" fillId="0" borderId="7" xfId="0" applyNumberFormat="1" applyFont="1" applyBorder="1" applyAlignment="1" applyProtection="1">
      <alignment vertical="center" wrapText="1"/>
      <protection locked="0"/>
    </xf>
    <xf numFmtId="4" fontId="9" fillId="0" borderId="12" xfId="0" applyNumberFormat="1" applyFont="1" applyBorder="1" applyAlignment="1" applyProtection="1">
      <alignment vertical="center" wrapText="1"/>
      <protection locked="0"/>
    </xf>
    <xf numFmtId="3" fontId="8" fillId="0" borderId="12" xfId="0" applyNumberFormat="1" applyFont="1" applyBorder="1" applyAlignment="1" applyProtection="1">
      <alignment vertical="center" wrapText="1"/>
      <protection locked="0"/>
    </xf>
    <xf numFmtId="4" fontId="3" fillId="0" borderId="12" xfId="0" applyNumberFormat="1" applyFont="1" applyBorder="1" applyAlignment="1">
      <alignment horizontal="right"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4" fontId="9" fillId="0" borderId="6" xfId="0" applyNumberFormat="1" applyFont="1" applyBorder="1" applyAlignment="1" applyProtection="1">
      <alignment vertical="center" wrapText="1"/>
      <protection locked="0"/>
    </xf>
    <xf numFmtId="3" fontId="8" fillId="0" borderId="6" xfId="0" applyNumberFormat="1" applyFont="1" applyBorder="1" applyAlignment="1" applyProtection="1">
      <alignment vertical="center" wrapText="1"/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4" fontId="9" fillId="0" borderId="4" xfId="0" applyNumberFormat="1" applyFont="1" applyBorder="1" applyAlignment="1" applyProtection="1">
      <alignment vertical="center" wrapText="1"/>
      <protection locked="0"/>
    </xf>
    <xf numFmtId="3" fontId="8" fillId="0" borderId="4" xfId="0" applyNumberFormat="1" applyFont="1" applyBorder="1" applyAlignment="1" applyProtection="1">
      <alignment vertical="center" wrapText="1"/>
      <protection locked="0"/>
    </xf>
    <xf numFmtId="3" fontId="9" fillId="0" borderId="4" xfId="0" applyNumberFormat="1" applyFont="1" applyBorder="1" applyAlignment="1" applyProtection="1">
      <alignment vertical="center" wrapText="1"/>
      <protection locked="0"/>
    </xf>
    <xf numFmtId="4" fontId="6" fillId="0" borderId="7" xfId="0" applyNumberFormat="1" applyFont="1" applyFill="1" applyBorder="1" applyAlignment="1">
      <alignment vertical="center" wrapText="1"/>
    </xf>
    <xf numFmtId="3" fontId="8" fillId="0" borderId="6" xfId="0" applyNumberFormat="1" applyFont="1" applyFill="1" applyBorder="1" applyAlignment="1">
      <alignment horizontal="right" vertical="center" wrapText="1"/>
    </xf>
    <xf numFmtId="4" fontId="9" fillId="0" borderId="6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3" fontId="8" fillId="0" borderId="6" xfId="0" applyNumberFormat="1" applyFont="1" applyFill="1" applyBorder="1" applyAlignment="1">
      <alignment vertical="center" wrapText="1"/>
    </xf>
    <xf numFmtId="4" fontId="9" fillId="0" borderId="6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3" fontId="8" fillId="0" borderId="4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9" fillId="0" borderId="0" xfId="0" applyNumberFormat="1" applyFont="1"/>
    <xf numFmtId="0" fontId="9" fillId="0" borderId="0" xfId="0" applyFont="1"/>
    <xf numFmtId="4" fontId="7" fillId="3" borderId="7" xfId="0" applyNumberFormat="1" applyFont="1" applyFill="1" applyBorder="1" applyAlignment="1">
      <alignment horizontal="center" vertical="center" wrapText="1"/>
    </xf>
    <xf numFmtId="3" fontId="4" fillId="2" borderId="7" xfId="0" quotePrefix="1" applyNumberFormat="1" applyFont="1" applyFill="1" applyBorder="1" applyAlignment="1">
      <alignment horizontal="center" vertical="center" wrapText="1"/>
    </xf>
    <xf numFmtId="4" fontId="6" fillId="0" borderId="31" xfId="0" applyNumberFormat="1" applyFont="1" applyBorder="1" applyAlignment="1">
      <alignment vertical="center" wrapText="1"/>
    </xf>
    <xf numFmtId="3" fontId="8" fillId="0" borderId="5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vertical="center" wrapText="1"/>
    </xf>
    <xf numFmtId="3" fontId="11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164" fontId="3" fillId="0" borderId="0" xfId="0" applyNumberFormat="1" applyFont="1"/>
    <xf numFmtId="3" fontId="11" fillId="2" borderId="19" xfId="0" applyNumberFormat="1" applyFont="1" applyFill="1" applyBorder="1" applyAlignment="1">
      <alignment vertical="center" wrapText="1"/>
    </xf>
    <xf numFmtId="4" fontId="6" fillId="2" borderId="19" xfId="0" applyNumberFormat="1" applyFont="1" applyFill="1" applyBorder="1" applyAlignment="1">
      <alignment vertical="center" wrapText="1"/>
    </xf>
    <xf numFmtId="165" fontId="12" fillId="0" borderId="0" xfId="0" applyNumberFormat="1" applyFont="1"/>
    <xf numFmtId="4" fontId="4" fillId="2" borderId="23" xfId="0" applyNumberFormat="1" applyFont="1" applyFill="1" applyBorder="1" applyAlignment="1">
      <alignment vertical="center" wrapText="1"/>
    </xf>
    <xf numFmtId="3" fontId="13" fillId="2" borderId="24" xfId="0" applyNumberFormat="1" applyFont="1" applyFill="1" applyBorder="1" applyAlignment="1">
      <alignment vertical="center" wrapText="1"/>
    </xf>
    <xf numFmtId="4" fontId="4" fillId="2" borderId="24" xfId="0" applyNumberFormat="1" applyFont="1" applyFill="1" applyBorder="1" applyAlignment="1">
      <alignment vertical="center" wrapText="1"/>
    </xf>
    <xf numFmtId="4" fontId="3" fillId="2" borderId="25" xfId="0" applyNumberFormat="1" applyFont="1" applyFill="1" applyBorder="1" applyAlignment="1">
      <alignment horizontal="right" vertical="center" wrapText="1"/>
    </xf>
    <xf numFmtId="4" fontId="4" fillId="2" borderId="26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vertical="center" wrapText="1"/>
    </xf>
    <xf numFmtId="3" fontId="13" fillId="2" borderId="19" xfId="0" applyNumberFormat="1" applyFont="1" applyFill="1" applyBorder="1" applyAlignment="1">
      <alignment vertical="center" wrapText="1"/>
    </xf>
    <xf numFmtId="4" fontId="4" fillId="2" borderId="19" xfId="0" applyNumberFormat="1" applyFont="1" applyFill="1" applyBorder="1" applyAlignment="1">
      <alignment vertical="center" wrapText="1"/>
    </xf>
    <xf numFmtId="3" fontId="14" fillId="0" borderId="0" xfId="0" applyNumberFormat="1" applyFont="1"/>
    <xf numFmtId="3" fontId="15" fillId="0" borderId="0" xfId="0" applyNumberFormat="1" applyFont="1"/>
    <xf numFmtId="0" fontId="14" fillId="0" borderId="0" xfId="0" applyFont="1"/>
    <xf numFmtId="165" fontId="14" fillId="0" borderId="0" xfId="0" applyNumberFormat="1" applyFont="1"/>
    <xf numFmtId="165" fontId="9" fillId="0" borderId="0" xfId="0" applyNumberFormat="1" applyFont="1"/>
    <xf numFmtId="0" fontId="15" fillId="0" borderId="0" xfId="0" applyFont="1"/>
    <xf numFmtId="4" fontId="6" fillId="2" borderId="20" xfId="0" applyNumberFormat="1" applyFont="1" applyFill="1" applyBorder="1" applyAlignment="1">
      <alignment vertical="center" wrapText="1"/>
    </xf>
    <xf numFmtId="4" fontId="6" fillId="2" borderId="21" xfId="0" applyNumberFormat="1" applyFont="1" applyFill="1" applyBorder="1" applyAlignment="1">
      <alignment vertical="center" wrapText="1"/>
    </xf>
    <xf numFmtId="3" fontId="6" fillId="2" borderId="27" xfId="0" applyNumberFormat="1" applyFont="1" applyFill="1" applyBorder="1" applyAlignment="1">
      <alignment vertical="center" wrapText="1"/>
    </xf>
    <xf numFmtId="3" fontId="6" fillId="2" borderId="21" xfId="0" applyNumberFormat="1" applyFont="1" applyFill="1" applyBorder="1" applyAlignment="1">
      <alignment vertical="center" wrapText="1"/>
    </xf>
    <xf numFmtId="3" fontId="11" fillId="2" borderId="25" xfId="0" applyNumberFormat="1" applyFont="1" applyFill="1" applyBorder="1" applyAlignment="1">
      <alignment vertical="center" wrapText="1"/>
    </xf>
    <xf numFmtId="4" fontId="6" fillId="2" borderId="25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4" fontId="6" fillId="2" borderId="34" xfId="0" applyNumberFormat="1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vertical="center" wrapText="1"/>
    </xf>
    <xf numFmtId="4" fontId="6" fillId="0" borderId="36" xfId="0" applyNumberFormat="1" applyFont="1" applyBorder="1" applyAlignment="1">
      <alignment vertical="center" wrapText="1"/>
    </xf>
    <xf numFmtId="4" fontId="6" fillId="0" borderId="37" xfId="0" applyNumberFormat="1" applyFont="1" applyBorder="1" applyAlignment="1">
      <alignment vertical="center" wrapText="1"/>
    </xf>
    <xf numFmtId="4" fontId="6" fillId="0" borderId="33" xfId="0" applyNumberFormat="1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3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4" fontId="6" fillId="0" borderId="2" xfId="0" applyNumberFormat="1" applyFont="1" applyFill="1" applyBorder="1" applyAlignment="1">
      <alignment vertical="center" wrapText="1"/>
    </xf>
    <xf numFmtId="4" fontId="4" fillId="2" borderId="34" xfId="0" applyNumberFormat="1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3" fontId="11" fillId="2" borderId="24" xfId="0" applyNumberFormat="1" applyFont="1" applyFill="1" applyBorder="1" applyAlignment="1">
      <alignment vertical="center" wrapText="1"/>
    </xf>
    <xf numFmtId="3" fontId="8" fillId="0" borderId="12" xfId="0" applyNumberFormat="1" applyFont="1" applyFill="1" applyBorder="1" applyAlignment="1">
      <alignment horizontal="right" vertical="center" wrapText="1"/>
    </xf>
    <xf numFmtId="3" fontId="8" fillId="0" borderId="12" xfId="0" applyNumberFormat="1" applyFont="1" applyFill="1" applyBorder="1" applyAlignment="1">
      <alignment vertical="center" wrapText="1"/>
    </xf>
    <xf numFmtId="4" fontId="6" fillId="3" borderId="17" xfId="0" applyNumberFormat="1" applyFont="1" applyFill="1" applyBorder="1" applyAlignment="1">
      <alignment horizontal="center" vertical="center" wrapText="1"/>
    </xf>
    <xf numFmtId="4" fontId="7" fillId="3" borderId="13" xfId="0" applyNumberFormat="1" applyFont="1" applyFill="1" applyBorder="1" applyAlignment="1">
      <alignment horizontal="center" vertical="center" wrapText="1"/>
    </xf>
    <xf numFmtId="4" fontId="7" fillId="3" borderId="41" xfId="0" applyNumberFormat="1" applyFont="1" applyFill="1" applyBorder="1" applyAlignment="1">
      <alignment horizontal="center" vertical="center" wrapText="1"/>
    </xf>
    <xf numFmtId="3" fontId="8" fillId="0" borderId="13" xfId="0" applyNumberFormat="1" applyFont="1" applyBorder="1" applyAlignment="1">
      <alignment vertical="center" wrapText="1"/>
    </xf>
    <xf numFmtId="4" fontId="3" fillId="0" borderId="41" xfId="0" applyNumberFormat="1" applyFont="1" applyBorder="1" applyAlignment="1">
      <alignment horizontal="right" vertical="center" wrapText="1"/>
    </xf>
    <xf numFmtId="3" fontId="11" fillId="2" borderId="23" xfId="0" applyNumberFormat="1" applyFont="1" applyFill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4" fontId="3" fillId="0" borderId="42" xfId="0" applyNumberFormat="1" applyFont="1" applyBorder="1" applyAlignment="1">
      <alignment horizontal="right" vertical="center" wrapText="1"/>
    </xf>
    <xf numFmtId="3" fontId="8" fillId="0" borderId="14" xfId="0" applyNumberFormat="1" applyFont="1" applyBorder="1" applyAlignment="1">
      <alignment vertical="center" wrapText="1"/>
    </xf>
    <xf numFmtId="3" fontId="11" fillId="2" borderId="8" xfId="0" applyNumberFormat="1" applyFont="1" applyFill="1" applyBorder="1" applyAlignment="1">
      <alignment vertical="center" wrapText="1"/>
    </xf>
    <xf numFmtId="3" fontId="8" fillId="0" borderId="13" xfId="0" applyNumberFormat="1" applyFont="1" applyBorder="1" applyAlignment="1" applyProtection="1">
      <alignment vertical="center" wrapText="1"/>
      <protection locked="0"/>
    </xf>
    <xf numFmtId="4" fontId="9" fillId="0" borderId="17" xfId="0" applyNumberFormat="1" applyFont="1" applyBorder="1" applyAlignment="1" applyProtection="1">
      <alignment vertical="center" wrapText="1"/>
      <protection locked="0"/>
    </xf>
    <xf numFmtId="3" fontId="8" fillId="0" borderId="11" xfId="0" applyNumberFormat="1" applyFont="1" applyFill="1" applyBorder="1" applyAlignment="1">
      <alignment horizontal="right" vertical="center" wrapText="1"/>
    </xf>
    <xf numFmtId="4" fontId="9" fillId="0" borderId="42" xfId="0" applyNumberFormat="1" applyFont="1" applyFill="1" applyBorder="1" applyAlignment="1">
      <alignment horizontal="right" vertical="center" wrapText="1"/>
    </xf>
    <xf numFmtId="3" fontId="13" fillId="2" borderId="23" xfId="0" applyNumberFormat="1" applyFont="1" applyFill="1" applyBorder="1" applyAlignment="1">
      <alignment vertical="center" wrapText="1"/>
    </xf>
    <xf numFmtId="4" fontId="4" fillId="2" borderId="43" xfId="0" applyNumberFormat="1" applyFont="1" applyFill="1" applyBorder="1" applyAlignment="1">
      <alignment vertical="center" wrapText="1"/>
    </xf>
    <xf numFmtId="3" fontId="6" fillId="2" borderId="20" xfId="0" applyNumberFormat="1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8" fillId="0" borderId="13" xfId="0" applyNumberFormat="1" applyFont="1" applyFill="1" applyBorder="1" applyAlignment="1">
      <alignment vertical="center" wrapText="1"/>
    </xf>
    <xf numFmtId="3" fontId="13" fillId="2" borderId="8" xfId="0" applyNumberFormat="1" applyFont="1" applyFill="1" applyBorder="1" applyAlignment="1">
      <alignment vertical="center" wrapText="1"/>
    </xf>
    <xf numFmtId="3" fontId="4" fillId="2" borderId="46" xfId="0" quotePrefix="1" applyNumberFormat="1" applyFont="1" applyFill="1" applyBorder="1" applyAlignment="1">
      <alignment horizontal="center" vertical="center" wrapText="1"/>
    </xf>
    <xf numFmtId="3" fontId="4" fillId="2" borderId="47" xfId="0" quotePrefix="1" applyNumberFormat="1" applyFont="1" applyFill="1" applyBorder="1" applyAlignment="1">
      <alignment horizontal="center" vertical="center" wrapText="1"/>
    </xf>
    <xf numFmtId="3" fontId="4" fillId="2" borderId="48" xfId="0" quotePrefix="1" applyNumberFormat="1" applyFont="1" applyFill="1" applyBorder="1" applyAlignment="1">
      <alignment horizontal="center" vertical="center" wrapText="1"/>
    </xf>
    <xf numFmtId="3" fontId="4" fillId="2" borderId="49" xfId="0" quotePrefix="1" applyNumberFormat="1" applyFont="1" applyFill="1" applyBorder="1" applyAlignment="1">
      <alignment horizontal="center" vertical="center" wrapText="1"/>
    </xf>
    <xf numFmtId="3" fontId="4" fillId="2" borderId="50" xfId="0" quotePrefix="1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3" fontId="4" fillId="2" borderId="51" xfId="0" quotePrefix="1" applyNumberFormat="1" applyFont="1" applyFill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2" borderId="52" xfId="0" applyNumberFormat="1" applyFont="1" applyFill="1" applyBorder="1" applyAlignment="1">
      <alignment horizontal="right" vertical="center" wrapText="1"/>
    </xf>
    <xf numFmtId="4" fontId="4" fillId="2" borderId="27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 applyProtection="1">
      <alignment vertical="center" wrapText="1"/>
      <protection locked="0"/>
    </xf>
    <xf numFmtId="4" fontId="9" fillId="0" borderId="33" xfId="0" applyNumberFormat="1" applyFont="1" applyFill="1" applyBorder="1" applyAlignment="1">
      <alignment horizontal="right" vertical="center" wrapText="1"/>
    </xf>
    <xf numFmtId="4" fontId="4" fillId="2" borderId="53" xfId="0" applyNumberFormat="1" applyFont="1" applyFill="1" applyBorder="1" applyAlignment="1">
      <alignment vertical="center" wrapText="1"/>
    </xf>
    <xf numFmtId="166" fontId="18" fillId="0" borderId="11" xfId="0" applyNumberFormat="1" applyFont="1" applyBorder="1" applyAlignment="1">
      <alignment vertical="center" wrapText="1"/>
    </xf>
    <xf numFmtId="166" fontId="18" fillId="0" borderId="6" xfId="0" applyNumberFormat="1" applyFont="1" applyBorder="1" applyAlignment="1">
      <alignment vertical="center" wrapText="1"/>
    </xf>
    <xf numFmtId="166" fontId="18" fillId="0" borderId="42" xfId="0" applyNumberFormat="1" applyFont="1" applyBorder="1" applyAlignment="1">
      <alignment vertical="center" wrapText="1"/>
    </xf>
    <xf numFmtId="166" fontId="18" fillId="0" borderId="13" xfId="0" applyNumberFormat="1" applyFont="1" applyBorder="1" applyAlignment="1">
      <alignment vertical="center" wrapText="1"/>
    </xf>
    <xf numFmtId="166" fontId="18" fillId="0" borderId="7" xfId="0" applyNumberFormat="1" applyFont="1" applyBorder="1" applyAlignment="1">
      <alignment vertical="center" wrapText="1"/>
    </xf>
    <xf numFmtId="166" fontId="18" fillId="0" borderId="41" xfId="0" applyNumberFormat="1" applyFont="1" applyBorder="1" applyAlignment="1">
      <alignment vertical="center" wrapText="1"/>
    </xf>
    <xf numFmtId="166" fontId="19" fillId="2" borderId="23" xfId="0" applyNumberFormat="1" applyFont="1" applyFill="1" applyBorder="1" applyAlignment="1">
      <alignment vertical="center" wrapText="1"/>
    </xf>
    <xf numFmtId="166" fontId="19" fillId="2" borderId="25" xfId="0" applyNumberFormat="1" applyFont="1" applyFill="1" applyBorder="1" applyAlignment="1">
      <alignment vertical="center" wrapText="1"/>
    </xf>
    <xf numFmtId="166" fontId="19" fillId="2" borderId="26" xfId="0" applyNumberFormat="1" applyFont="1" applyFill="1" applyBorder="1" applyAlignment="1">
      <alignment vertical="center" wrapText="1"/>
    </xf>
    <xf numFmtId="166" fontId="18" fillId="0" borderId="12" xfId="0" applyNumberFormat="1" applyFont="1" applyBorder="1" applyAlignment="1">
      <alignment vertical="center" wrapText="1"/>
    </xf>
    <xf numFmtId="166" fontId="18" fillId="0" borderId="16" xfId="0" applyNumberFormat="1" applyFont="1" applyBorder="1" applyAlignment="1">
      <alignment vertical="center" wrapText="1"/>
    </xf>
    <xf numFmtId="166" fontId="18" fillId="0" borderId="4" xfId="0" applyNumberFormat="1" applyFont="1" applyBorder="1" applyAlignment="1">
      <alignment vertical="center" wrapText="1"/>
    </xf>
    <xf numFmtId="166" fontId="18" fillId="0" borderId="17" xfId="0" applyNumberFormat="1" applyFont="1" applyBorder="1" applyAlignment="1">
      <alignment vertical="center" wrapText="1"/>
    </xf>
    <xf numFmtId="166" fontId="18" fillId="0" borderId="14" xfId="0" applyNumberFormat="1" applyFont="1" applyBorder="1" applyAlignment="1">
      <alignment vertical="center" wrapText="1"/>
    </xf>
    <xf numFmtId="166" fontId="18" fillId="0" borderId="15" xfId="0" applyNumberFormat="1" applyFont="1" applyBorder="1" applyAlignment="1">
      <alignment vertical="center" wrapText="1"/>
    </xf>
    <xf numFmtId="166" fontId="18" fillId="0" borderId="18" xfId="0" applyNumberFormat="1" applyFont="1" applyBorder="1" applyAlignment="1">
      <alignment vertical="center" wrapText="1"/>
    </xf>
    <xf numFmtId="166" fontId="19" fillId="2" borderId="8" xfId="0" applyNumberFormat="1" applyFont="1" applyFill="1" applyBorder="1" applyAlignment="1">
      <alignment vertical="center" wrapText="1"/>
    </xf>
    <xf numFmtId="166" fontId="19" fillId="2" borderId="9" xfId="0" applyNumberFormat="1" applyFont="1" applyFill="1" applyBorder="1" applyAlignment="1">
      <alignment vertical="center" wrapText="1"/>
    </xf>
    <xf numFmtId="166" fontId="19" fillId="2" borderId="10" xfId="0" applyNumberFormat="1" applyFont="1" applyFill="1" applyBorder="1" applyAlignment="1">
      <alignment vertical="center" wrapText="1"/>
    </xf>
    <xf numFmtId="166" fontId="18" fillId="0" borderId="1" xfId="0" applyNumberFormat="1" applyFont="1" applyBorder="1" applyAlignment="1">
      <alignment vertical="center" wrapText="1"/>
    </xf>
    <xf numFmtId="166" fontId="18" fillId="0" borderId="54" xfId="0" applyNumberFormat="1" applyFont="1" applyBorder="1" applyAlignment="1">
      <alignment vertical="center" wrapText="1"/>
    </xf>
    <xf numFmtId="166" fontId="19" fillId="2" borderId="19" xfId="0" applyNumberFormat="1" applyFont="1" applyFill="1" applyBorder="1" applyAlignment="1">
      <alignment vertical="center" wrapText="1"/>
    </xf>
    <xf numFmtId="166" fontId="19" fillId="2" borderId="22" xfId="0" applyNumberFormat="1" applyFont="1" applyFill="1" applyBorder="1" applyAlignment="1">
      <alignment vertical="center" wrapText="1"/>
    </xf>
    <xf numFmtId="4" fontId="19" fillId="2" borderId="21" xfId="0" applyNumberFormat="1" applyFont="1" applyFill="1" applyBorder="1" applyAlignment="1">
      <alignment vertical="center" wrapText="1"/>
    </xf>
    <xf numFmtId="166" fontId="18" fillId="0" borderId="28" xfId="0" applyNumberFormat="1" applyFont="1" applyBorder="1" applyAlignment="1" applyProtection="1">
      <alignment vertical="center" wrapText="1"/>
      <protection locked="0"/>
    </xf>
    <xf numFmtId="166" fontId="18" fillId="0" borderId="29" xfId="0" applyNumberFormat="1" applyFont="1" applyBorder="1" applyAlignment="1" applyProtection="1">
      <alignment vertical="center" wrapText="1"/>
      <protection locked="0"/>
    </xf>
    <xf numFmtId="166" fontId="18" fillId="0" borderId="30" xfId="0" applyNumberFormat="1" applyFont="1" applyBorder="1" applyAlignment="1" applyProtection="1">
      <alignment vertical="center" wrapText="1"/>
      <protection locked="0"/>
    </xf>
    <xf numFmtId="166" fontId="18" fillId="0" borderId="13" xfId="0" applyNumberFormat="1" applyFont="1" applyBorder="1" applyAlignment="1" applyProtection="1">
      <alignment vertical="center" wrapText="1"/>
      <protection locked="0"/>
    </xf>
    <xf numFmtId="166" fontId="18" fillId="0" borderId="7" xfId="0" applyNumberFormat="1" applyFont="1" applyBorder="1" applyAlignment="1" applyProtection="1">
      <alignment vertical="center" wrapText="1"/>
      <protection locked="0"/>
    </xf>
    <xf numFmtId="166" fontId="18" fillId="0" borderId="41" xfId="0" applyNumberFormat="1" applyFont="1" applyBorder="1" applyAlignment="1" applyProtection="1">
      <alignment vertical="center" wrapText="1"/>
      <protection locked="0"/>
    </xf>
    <xf numFmtId="166" fontId="18" fillId="0" borderId="11" xfId="0" applyNumberFormat="1" applyFont="1" applyBorder="1" applyAlignment="1" applyProtection="1">
      <alignment vertical="center" wrapText="1"/>
      <protection locked="0"/>
    </xf>
    <xf numFmtId="166" fontId="18" fillId="0" borderId="12" xfId="0" applyNumberFormat="1" applyFont="1" applyBorder="1" applyAlignment="1" applyProtection="1">
      <alignment vertical="center" wrapText="1"/>
      <protection locked="0"/>
    </xf>
    <xf numFmtId="166" fontId="18" fillId="0" borderId="16" xfId="0" applyNumberFormat="1" applyFont="1" applyBorder="1" applyAlignment="1" applyProtection="1">
      <alignment vertical="center" wrapText="1"/>
      <protection locked="0"/>
    </xf>
    <xf numFmtId="166" fontId="18" fillId="0" borderId="6" xfId="0" applyNumberFormat="1" applyFont="1" applyBorder="1" applyAlignment="1" applyProtection="1">
      <alignment vertical="center" wrapText="1"/>
      <protection locked="0"/>
    </xf>
    <xf numFmtId="166" fontId="18" fillId="0" borderId="42" xfId="0" applyNumberFormat="1" applyFont="1" applyBorder="1" applyAlignment="1" applyProtection="1">
      <alignment vertical="center" wrapText="1"/>
      <protection locked="0"/>
    </xf>
    <xf numFmtId="166" fontId="18" fillId="0" borderId="4" xfId="0" applyNumberFormat="1" applyFont="1" applyBorder="1" applyAlignment="1" applyProtection="1">
      <alignment vertical="center" wrapText="1"/>
      <protection locked="0"/>
    </xf>
    <xf numFmtId="166" fontId="18" fillId="0" borderId="17" xfId="0" applyNumberFormat="1" applyFont="1" applyBorder="1" applyAlignment="1" applyProtection="1">
      <alignment vertical="center" wrapText="1"/>
      <protection locked="0"/>
    </xf>
    <xf numFmtId="166" fontId="18" fillId="0" borderId="11" xfId="0" applyNumberFormat="1" applyFont="1" applyFill="1" applyBorder="1" applyAlignment="1">
      <alignment horizontal="right" vertical="center" wrapText="1"/>
    </xf>
    <xf numFmtId="166" fontId="18" fillId="0" borderId="6" xfId="0" applyNumberFormat="1" applyFont="1" applyFill="1" applyBorder="1" applyAlignment="1">
      <alignment horizontal="right" vertical="center" wrapText="1"/>
    </xf>
    <xf numFmtId="166" fontId="18" fillId="0" borderId="42" xfId="0" applyNumberFormat="1" applyFont="1" applyFill="1" applyBorder="1" applyAlignment="1">
      <alignment horizontal="right" vertical="center" wrapText="1"/>
    </xf>
    <xf numFmtId="166" fontId="20" fillId="2" borderId="23" xfId="0" applyNumberFormat="1" applyFont="1" applyFill="1" applyBorder="1" applyAlignment="1">
      <alignment vertical="center" wrapText="1"/>
    </xf>
    <xf numFmtId="166" fontId="20" fillId="2" borderId="24" xfId="0" applyNumberFormat="1" applyFont="1" applyFill="1" applyBorder="1" applyAlignment="1">
      <alignment vertical="center" wrapText="1"/>
    </xf>
    <xf numFmtId="166" fontId="20" fillId="2" borderId="43" xfId="0" applyNumberFormat="1" applyFont="1" applyFill="1" applyBorder="1" applyAlignment="1">
      <alignment vertical="center" wrapText="1"/>
    </xf>
    <xf numFmtId="3" fontId="19" fillId="2" borderId="21" xfId="0" applyNumberFormat="1" applyFont="1" applyFill="1" applyBorder="1" applyAlignment="1">
      <alignment vertical="center" wrapText="1"/>
    </xf>
    <xf numFmtId="166" fontId="18" fillId="0" borderId="28" xfId="0" applyNumberFormat="1" applyFont="1" applyFill="1" applyBorder="1" applyAlignment="1">
      <alignment vertical="center" wrapText="1"/>
    </xf>
    <xf numFmtId="166" fontId="18" fillId="0" borderId="29" xfId="0" applyNumberFormat="1" applyFont="1" applyFill="1" applyBorder="1" applyAlignment="1">
      <alignment vertical="center" wrapText="1"/>
    </xf>
    <xf numFmtId="166" fontId="18" fillId="0" borderId="30" xfId="0" applyNumberFormat="1" applyFont="1" applyFill="1" applyBorder="1" applyAlignment="1">
      <alignment vertical="center" wrapText="1"/>
    </xf>
    <xf numFmtId="166" fontId="18" fillId="0" borderId="11" xfId="0" applyNumberFormat="1" applyFont="1" applyFill="1" applyBorder="1" applyAlignment="1">
      <alignment vertical="center" wrapText="1"/>
    </xf>
    <xf numFmtId="166" fontId="18" fillId="0" borderId="6" xfId="0" applyNumberFormat="1" applyFont="1" applyFill="1" applyBorder="1" applyAlignment="1">
      <alignment vertical="center" wrapText="1"/>
    </xf>
    <xf numFmtId="166" fontId="18" fillId="0" borderId="42" xfId="0" applyNumberFormat="1" applyFont="1" applyFill="1" applyBorder="1" applyAlignment="1">
      <alignment vertical="center" wrapText="1"/>
    </xf>
    <xf numFmtId="166" fontId="18" fillId="0" borderId="13" xfId="0" applyNumberFormat="1" applyFont="1" applyFill="1" applyBorder="1" applyAlignment="1">
      <alignment vertical="center" wrapText="1"/>
    </xf>
    <xf numFmtId="166" fontId="18" fillId="0" borderId="4" xfId="0" applyNumberFormat="1" applyFont="1" applyFill="1" applyBorder="1" applyAlignment="1">
      <alignment vertical="center" wrapText="1"/>
    </xf>
    <xf numFmtId="166" fontId="18" fillId="0" borderId="17" xfId="0" applyNumberFormat="1" applyFont="1" applyFill="1" applyBorder="1" applyAlignment="1">
      <alignment vertical="center" wrapText="1"/>
    </xf>
    <xf numFmtId="166" fontId="20" fillId="2" borderId="8" xfId="0" applyNumberFormat="1" applyFont="1" applyFill="1" applyBorder="1" applyAlignment="1">
      <alignment vertical="center" wrapText="1"/>
    </xf>
    <xf numFmtId="166" fontId="20" fillId="2" borderId="19" xfId="0" applyNumberFormat="1" applyFont="1" applyFill="1" applyBorder="1" applyAlignment="1">
      <alignment vertical="center" wrapText="1"/>
    </xf>
    <xf numFmtId="166" fontId="20" fillId="2" borderId="22" xfId="0" applyNumberFormat="1" applyFont="1" applyFill="1" applyBorder="1" applyAlignment="1">
      <alignment vertical="center" wrapText="1"/>
    </xf>
    <xf numFmtId="166" fontId="8" fillId="0" borderId="7" xfId="0" applyNumberFormat="1" applyFont="1" applyBorder="1" applyAlignment="1">
      <alignment vertical="center" wrapText="1"/>
    </xf>
    <xf numFmtId="166" fontId="3" fillId="0" borderId="7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vertical="center" wrapText="1"/>
    </xf>
    <xf numFmtId="166" fontId="3" fillId="0" borderId="5" xfId="0" applyNumberFormat="1" applyFont="1" applyBorder="1" applyAlignment="1">
      <alignment horizontal="right" vertical="center" wrapText="1"/>
    </xf>
    <xf numFmtId="166" fontId="11" fillId="2" borderId="9" xfId="0" applyNumberFormat="1" applyFont="1" applyFill="1" applyBorder="1" applyAlignment="1">
      <alignment vertical="center" wrapText="1"/>
    </xf>
    <xf numFmtId="166" fontId="6" fillId="2" borderId="9" xfId="0" applyNumberFormat="1" applyFont="1" applyFill="1" applyBorder="1" applyAlignment="1">
      <alignment vertical="center" wrapText="1"/>
    </xf>
    <xf numFmtId="166" fontId="8" fillId="0" borderId="12" xfId="0" applyNumberFormat="1" applyFont="1" applyBorder="1" applyAlignment="1">
      <alignment vertical="center" wrapText="1"/>
    </xf>
    <xf numFmtId="166" fontId="3" fillId="0" borderId="6" xfId="0" applyNumberFormat="1" applyFont="1" applyBorder="1" applyAlignment="1">
      <alignment horizontal="right" vertical="center" wrapText="1"/>
    </xf>
    <xf numFmtId="166" fontId="8" fillId="0" borderId="4" xfId="0" applyNumberFormat="1" applyFont="1" applyBorder="1" applyAlignment="1">
      <alignment vertical="center" wrapText="1"/>
    </xf>
    <xf numFmtId="166" fontId="8" fillId="0" borderId="15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8" fillId="0" borderId="6" xfId="0" applyNumberFormat="1" applyFont="1" applyBorder="1" applyAlignment="1">
      <alignment vertical="center" wrapText="1"/>
    </xf>
    <xf numFmtId="166" fontId="9" fillId="0" borderId="6" xfId="0" applyNumberFormat="1" applyFont="1" applyBorder="1" applyAlignment="1">
      <alignment vertical="center" wrapText="1"/>
    </xf>
    <xf numFmtId="166" fontId="9" fillId="0" borderId="7" xfId="0" applyNumberFormat="1" applyFont="1" applyBorder="1" applyAlignment="1">
      <alignment vertical="center" wrapText="1"/>
    </xf>
    <xf numFmtId="166" fontId="9" fillId="0" borderId="1" xfId="0" applyNumberFormat="1" applyFont="1" applyBorder="1" applyAlignment="1">
      <alignment vertical="center" wrapText="1"/>
    </xf>
    <xf numFmtId="166" fontId="11" fillId="2" borderId="19" xfId="0" applyNumberFormat="1" applyFont="1" applyFill="1" applyBorder="1" applyAlignment="1">
      <alignment vertical="center" wrapText="1"/>
    </xf>
    <xf numFmtId="166" fontId="4" fillId="2" borderId="9" xfId="0" applyNumberFormat="1" applyFont="1" applyFill="1" applyBorder="1" applyAlignment="1">
      <alignment horizontal="right" vertical="center" wrapText="1"/>
    </xf>
    <xf numFmtId="4" fontId="6" fillId="2" borderId="23" xfId="0" applyNumberFormat="1" applyFont="1" applyFill="1" applyBorder="1" applyAlignment="1">
      <alignment vertical="center" wrapText="1"/>
    </xf>
    <xf numFmtId="4" fontId="6" fillId="0" borderId="4" xfId="0" applyNumberFormat="1" applyFont="1" applyBorder="1" applyAlignment="1">
      <alignment vertical="center" wrapText="1"/>
    </xf>
    <xf numFmtId="166" fontId="4" fillId="2" borderId="10" xfId="0" applyNumberFormat="1" applyFont="1" applyFill="1" applyBorder="1" applyAlignment="1">
      <alignment horizontal="right" vertical="center" wrapText="1"/>
    </xf>
    <xf numFmtId="166" fontId="3" fillId="2" borderId="9" xfId="0" applyNumberFormat="1" applyFont="1" applyFill="1" applyBorder="1" applyAlignment="1">
      <alignment horizontal="right" vertical="center" wrapText="1"/>
    </xf>
    <xf numFmtId="166" fontId="4" fillId="2" borderId="26" xfId="0" applyNumberFormat="1" applyFont="1" applyFill="1" applyBorder="1" applyAlignment="1">
      <alignment horizontal="right" vertical="center" wrapText="1"/>
    </xf>
    <xf numFmtId="166" fontId="10" fillId="0" borderId="7" xfId="0" applyNumberFormat="1" applyFont="1" applyBorder="1" applyAlignment="1">
      <alignment horizontal="right" vertical="center" wrapText="1"/>
    </xf>
    <xf numFmtId="166" fontId="10" fillId="2" borderId="25" xfId="0" applyNumberFormat="1" applyFont="1" applyFill="1" applyBorder="1" applyAlignment="1">
      <alignment horizontal="right" vertical="center" wrapText="1"/>
    </xf>
    <xf numFmtId="166" fontId="10" fillId="2" borderId="9" xfId="0" applyNumberFormat="1" applyFont="1" applyFill="1" applyBorder="1" applyAlignment="1">
      <alignment horizontal="right" vertical="center" wrapText="1"/>
    </xf>
    <xf numFmtId="165" fontId="15" fillId="0" borderId="0" xfId="0" applyNumberFormat="1" applyFont="1"/>
    <xf numFmtId="4" fontId="6" fillId="2" borderId="7" xfId="0" applyNumberFormat="1" applyFont="1" applyFill="1" applyBorder="1" applyAlignment="1">
      <alignment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166" fontId="4" fillId="2" borderId="7" xfId="0" applyNumberFormat="1" applyFont="1" applyFill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4" fillId="2" borderId="7" xfId="0" applyNumberFormat="1" applyFont="1" applyFill="1" applyBorder="1" applyAlignment="1">
      <alignment vertical="center" wrapText="1"/>
    </xf>
    <xf numFmtId="0" fontId="1" fillId="0" borderId="0" xfId="2"/>
    <xf numFmtId="0" fontId="18" fillId="0" borderId="0" xfId="2" applyFont="1" applyAlignment="1">
      <alignment vertical="center"/>
    </xf>
    <xf numFmtId="0" fontId="25" fillId="0" borderId="13" xfId="2" applyFont="1" applyBorder="1" applyAlignment="1">
      <alignment horizontal="center" vertical="center" wrapText="1"/>
    </xf>
    <xf numFmtId="0" fontId="25" fillId="0" borderId="41" xfId="2" applyFont="1" applyBorder="1" applyAlignment="1">
      <alignment horizontal="center" vertical="center" wrapText="1"/>
    </xf>
    <xf numFmtId="0" fontId="25" fillId="0" borderId="36" xfId="2" applyFont="1" applyBorder="1" applyAlignment="1">
      <alignment horizontal="center" vertical="center" wrapText="1"/>
    </xf>
    <xf numFmtId="0" fontId="27" fillId="0" borderId="36" xfId="2" applyFont="1" applyBorder="1" applyAlignment="1">
      <alignment horizontal="center" vertical="center" wrapText="1"/>
    </xf>
    <xf numFmtId="0" fontId="27" fillId="0" borderId="13" xfId="2" applyFont="1" applyBorder="1" applyAlignment="1">
      <alignment horizontal="center" vertical="center" wrapText="1"/>
    </xf>
    <xf numFmtId="165" fontId="27" fillId="0" borderId="41" xfId="2" applyNumberFormat="1" applyFont="1" applyBorder="1" applyAlignment="1">
      <alignment horizontal="center" vertical="center" wrapText="1"/>
    </xf>
    <xf numFmtId="166" fontId="27" fillId="0" borderId="41" xfId="3" applyNumberFormat="1" applyFont="1" applyBorder="1" applyAlignment="1">
      <alignment horizontal="center" vertical="center" wrapText="1"/>
    </xf>
    <xf numFmtId="0" fontId="28" fillId="0" borderId="36" xfId="2" applyFont="1" applyBorder="1" applyAlignment="1">
      <alignment horizontal="center" vertical="center" wrapText="1"/>
    </xf>
    <xf numFmtId="0" fontId="18" fillId="0" borderId="13" xfId="2" applyFont="1" applyBorder="1" applyAlignment="1">
      <alignment horizontal="center" vertical="center"/>
    </xf>
    <xf numFmtId="165" fontId="18" fillId="0" borderId="41" xfId="2" applyNumberFormat="1" applyFont="1" applyBorder="1" applyAlignment="1">
      <alignment horizontal="center" vertical="center"/>
    </xf>
    <xf numFmtId="3" fontId="18" fillId="0" borderId="13" xfId="2" applyNumberFormat="1" applyFont="1" applyBorder="1" applyAlignment="1">
      <alignment horizontal="center" vertical="center"/>
    </xf>
    <xf numFmtId="166" fontId="18" fillId="0" borderId="13" xfId="3" applyNumberFormat="1" applyFont="1" applyBorder="1" applyAlignment="1">
      <alignment horizontal="center" vertical="center" wrapText="1"/>
    </xf>
    <xf numFmtId="166" fontId="18" fillId="0" borderId="41" xfId="3" applyNumberFormat="1" applyFont="1" applyBorder="1" applyAlignment="1">
      <alignment horizontal="center" vertical="center" wrapText="1"/>
    </xf>
    <xf numFmtId="166" fontId="1" fillId="0" borderId="0" xfId="2" applyNumberFormat="1"/>
    <xf numFmtId="0" fontId="29" fillId="0" borderId="36" xfId="2" applyFont="1" applyBorder="1" applyAlignment="1">
      <alignment horizontal="center" vertical="center" wrapText="1"/>
    </xf>
    <xf numFmtId="3" fontId="30" fillId="4" borderId="13" xfId="2" applyNumberFormat="1" applyFont="1" applyFill="1" applyBorder="1" applyAlignment="1">
      <alignment horizontal="center" vertical="center"/>
    </xf>
    <xf numFmtId="165" fontId="30" fillId="4" borderId="41" xfId="2" applyNumberFormat="1" applyFont="1" applyFill="1" applyBorder="1" applyAlignment="1">
      <alignment horizontal="center" vertical="center"/>
    </xf>
    <xf numFmtId="3" fontId="30" fillId="4" borderId="13" xfId="4" applyNumberFormat="1" applyFont="1" applyFill="1" applyBorder="1" applyAlignment="1">
      <alignment horizontal="center" vertical="center" wrapText="1"/>
    </xf>
    <xf numFmtId="165" fontId="30" fillId="4" borderId="41" xfId="5" applyNumberFormat="1" applyFont="1" applyFill="1" applyBorder="1" applyAlignment="1">
      <alignment horizontal="center" vertical="center" wrapText="1"/>
    </xf>
    <xf numFmtId="166" fontId="30" fillId="4" borderId="13" xfId="3" applyNumberFormat="1" applyFont="1" applyFill="1" applyBorder="1" applyAlignment="1">
      <alignment horizontal="center" vertical="center" wrapText="1"/>
    </xf>
    <xf numFmtId="166" fontId="30" fillId="4" borderId="41" xfId="3" applyNumberFormat="1" applyFont="1" applyFill="1" applyBorder="1" applyAlignment="1">
      <alignment horizontal="center" vertical="center" wrapText="1"/>
    </xf>
    <xf numFmtId="0" fontId="32" fillId="4" borderId="36" xfId="2" applyFont="1" applyFill="1" applyBorder="1" applyAlignment="1">
      <alignment horizontal="center" vertical="center" wrapText="1"/>
    </xf>
    <xf numFmtId="3" fontId="33" fillId="4" borderId="13" xfId="2" applyNumberFormat="1" applyFont="1" applyFill="1" applyBorder="1" applyAlignment="1">
      <alignment horizontal="center" vertical="center"/>
    </xf>
    <xf numFmtId="165" fontId="33" fillId="4" borderId="41" xfId="2" applyNumberFormat="1" applyFont="1" applyFill="1" applyBorder="1" applyAlignment="1">
      <alignment horizontal="center" vertical="center"/>
    </xf>
    <xf numFmtId="166" fontId="33" fillId="4" borderId="13" xfId="3" applyNumberFormat="1" applyFont="1" applyFill="1" applyBorder="1" applyAlignment="1">
      <alignment horizontal="center" vertical="center"/>
    </xf>
    <xf numFmtId="166" fontId="33" fillId="0" borderId="41" xfId="3" applyNumberFormat="1" applyFont="1" applyBorder="1" applyAlignment="1">
      <alignment horizontal="center" vertical="center"/>
    </xf>
    <xf numFmtId="0" fontId="25" fillId="4" borderId="36" xfId="2" applyFont="1" applyFill="1" applyBorder="1" applyAlignment="1">
      <alignment horizontal="center" vertical="center" wrapText="1"/>
    </xf>
    <xf numFmtId="3" fontId="34" fillId="4" borderId="56" xfId="6" applyNumberFormat="1" applyFont="1" applyFill="1" applyBorder="1" applyAlignment="1" applyProtection="1">
      <alignment horizontal="center" vertical="center" wrapText="1"/>
    </xf>
    <xf numFmtId="165" fontId="34" fillId="4" borderId="57" xfId="6" applyNumberFormat="1" applyFont="1" applyFill="1" applyBorder="1" applyAlignment="1" applyProtection="1">
      <alignment horizontal="center" vertical="center" wrapText="1"/>
    </xf>
    <xf numFmtId="3" fontId="18" fillId="4" borderId="13" xfId="2" applyNumberFormat="1" applyFont="1" applyFill="1" applyBorder="1" applyAlignment="1">
      <alignment horizontal="center" vertical="center" wrapText="1"/>
    </xf>
    <xf numFmtId="165" fontId="18" fillId="4" borderId="41" xfId="2" applyNumberFormat="1" applyFont="1" applyFill="1" applyBorder="1" applyAlignment="1">
      <alignment horizontal="center" vertical="center" wrapText="1"/>
    </xf>
    <xf numFmtId="166" fontId="18" fillId="4" borderId="13" xfId="3" applyNumberFormat="1" applyFont="1" applyFill="1" applyBorder="1" applyAlignment="1">
      <alignment horizontal="center" vertical="center" wrapText="1"/>
    </xf>
    <xf numFmtId="0" fontId="28" fillId="4" borderId="36" xfId="2" applyFont="1" applyFill="1" applyBorder="1" applyAlignment="1">
      <alignment horizontal="center" vertical="center" wrapText="1"/>
    </xf>
    <xf numFmtId="3" fontId="18" fillId="4" borderId="13" xfId="2" applyNumberFormat="1" applyFont="1" applyFill="1" applyBorder="1" applyAlignment="1">
      <alignment horizontal="center" vertical="center"/>
    </xf>
    <xf numFmtId="165" fontId="18" fillId="4" borderId="41" xfId="2" applyNumberFormat="1" applyFont="1" applyFill="1" applyBorder="1" applyAlignment="1">
      <alignment horizontal="center" vertical="center"/>
    </xf>
    <xf numFmtId="166" fontId="18" fillId="4" borderId="13" xfId="3" applyNumberFormat="1" applyFont="1" applyFill="1" applyBorder="1" applyAlignment="1">
      <alignment horizontal="center" vertical="center"/>
    </xf>
    <xf numFmtId="166" fontId="18" fillId="0" borderId="41" xfId="3" applyNumberFormat="1" applyFont="1" applyBorder="1" applyAlignment="1">
      <alignment horizontal="center" vertical="center"/>
    </xf>
    <xf numFmtId="3" fontId="18" fillId="4" borderId="13" xfId="4" applyNumberFormat="1" applyFont="1" applyFill="1" applyBorder="1" applyAlignment="1">
      <alignment horizontal="center" vertical="center" wrapText="1"/>
    </xf>
    <xf numFmtId="165" fontId="18" fillId="4" borderId="41" xfId="5" applyNumberFormat="1" applyFont="1" applyFill="1" applyBorder="1" applyAlignment="1">
      <alignment horizontal="center" vertical="center" wrapText="1"/>
    </xf>
    <xf numFmtId="0" fontId="29" fillId="4" borderId="36" xfId="2" applyFont="1" applyFill="1" applyBorder="1" applyAlignment="1">
      <alignment horizontal="center" vertical="center" wrapText="1"/>
    </xf>
    <xf numFmtId="3" fontId="29" fillId="4" borderId="13" xfId="2" applyNumberFormat="1" applyFont="1" applyFill="1" applyBorder="1" applyAlignment="1">
      <alignment horizontal="center" vertical="center" wrapText="1"/>
    </xf>
    <xf numFmtId="166" fontId="30" fillId="0" borderId="41" xfId="3" applyNumberFormat="1" applyFont="1" applyBorder="1" applyAlignment="1">
      <alignment horizontal="center" vertical="center" wrapText="1"/>
    </xf>
    <xf numFmtId="0" fontId="35" fillId="4" borderId="36" xfId="2" applyFont="1" applyFill="1" applyBorder="1" applyAlignment="1">
      <alignment horizontal="center" vertical="center" wrapText="1"/>
    </xf>
    <xf numFmtId="0" fontId="3" fillId="4" borderId="58" xfId="7" applyNumberFormat="1" applyFont="1" applyFill="1" applyBorder="1" applyAlignment="1">
      <alignment horizontal="center" vertical="center" wrapText="1"/>
    </xf>
    <xf numFmtId="3" fontId="18" fillId="4" borderId="13" xfId="8" applyNumberFormat="1" applyFont="1" applyFill="1" applyBorder="1" applyAlignment="1">
      <alignment horizontal="center" vertical="center" wrapText="1"/>
    </xf>
    <xf numFmtId="166" fontId="18" fillId="0" borderId="13" xfId="3" applyNumberFormat="1" applyFont="1" applyBorder="1" applyAlignment="1">
      <alignment horizontal="center" vertical="center"/>
    </xf>
    <xf numFmtId="0" fontId="25" fillId="0" borderId="46" xfId="2" applyFont="1" applyBorder="1" applyAlignment="1">
      <alignment horizontal="center" vertical="center" wrapText="1"/>
    </xf>
    <xf numFmtId="3" fontId="34" fillId="0" borderId="59" xfId="6" applyNumberFormat="1" applyFont="1" applyFill="1" applyBorder="1" applyAlignment="1" applyProtection="1">
      <alignment horizontal="center" vertical="center" wrapText="1"/>
    </xf>
    <xf numFmtId="165" fontId="34" fillId="0" borderId="60" xfId="6" applyNumberFormat="1" applyFont="1" applyFill="1" applyBorder="1" applyAlignment="1" applyProtection="1">
      <alignment horizontal="center" vertical="center" wrapText="1"/>
    </xf>
    <xf numFmtId="3" fontId="18" fillId="0" borderId="47" xfId="4" applyNumberFormat="1" applyFont="1" applyBorder="1" applyAlignment="1">
      <alignment horizontal="center" vertical="center" wrapText="1"/>
    </xf>
    <xf numFmtId="165" fontId="18" fillId="0" borderId="49" xfId="5" applyNumberFormat="1" applyFont="1" applyBorder="1" applyAlignment="1">
      <alignment horizontal="center" vertical="center" wrapText="1"/>
    </xf>
    <xf numFmtId="166" fontId="18" fillId="0" borderId="47" xfId="3" applyNumberFormat="1" applyFont="1" applyBorder="1" applyAlignment="1">
      <alignment horizontal="center" vertical="center" wrapText="1"/>
    </xf>
    <xf numFmtId="166" fontId="18" fillId="0" borderId="49" xfId="3" applyNumberFormat="1" applyFont="1" applyBorder="1" applyAlignment="1">
      <alignment horizontal="center" vertical="center" wrapText="1"/>
    </xf>
    <xf numFmtId="0" fontId="37" fillId="0" borderId="0" xfId="0" applyFont="1" applyFill="1"/>
    <xf numFmtId="0" fontId="0" fillId="0" borderId="0" xfId="0" applyFill="1"/>
    <xf numFmtId="0" fontId="38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40" fillId="0" borderId="0" xfId="0" applyFont="1" applyFill="1"/>
    <xf numFmtId="0" fontId="42" fillId="5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/>
    </xf>
    <xf numFmtId="0" fontId="0" fillId="0" borderId="0" xfId="0" applyFill="1" applyAlignment="1"/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166" fontId="4" fillId="0" borderId="7" xfId="1" applyNumberFormat="1" applyFont="1" applyFill="1" applyBorder="1" applyAlignment="1">
      <alignment horizontal="center" vertical="top" wrapText="1"/>
    </xf>
    <xf numFmtId="0" fontId="44" fillId="0" borderId="7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7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66" fontId="3" fillId="0" borderId="7" xfId="1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9" fillId="0" borderId="0" xfId="0" applyFont="1" applyFill="1" applyBorder="1" applyAlignment="1">
      <alignment horizontal="left" vertical="top"/>
    </xf>
    <xf numFmtId="0" fontId="18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0" fontId="25" fillId="0" borderId="38" xfId="2" applyFont="1" applyBorder="1" applyAlignment="1">
      <alignment horizontal="center" vertical="center" wrapText="1"/>
    </xf>
    <xf numFmtId="0" fontId="25" fillId="0" borderId="36" xfId="2" applyFont="1" applyBorder="1" applyAlignment="1">
      <alignment horizontal="center" vertical="center" wrapText="1"/>
    </xf>
    <xf numFmtId="0" fontId="26" fillId="0" borderId="38" xfId="2" applyFont="1" applyBorder="1" applyAlignment="1">
      <alignment horizontal="center" vertical="center" wrapText="1"/>
    </xf>
    <xf numFmtId="0" fontId="26" fillId="0" borderId="40" xfId="2" applyFont="1" applyBorder="1" applyAlignment="1">
      <alignment horizontal="center" vertical="center" wrapText="1"/>
    </xf>
    <xf numFmtId="0" fontId="18" fillId="0" borderId="0" xfId="2" applyFont="1" applyAlignment="1">
      <alignment horizontal="right"/>
    </xf>
    <xf numFmtId="0" fontId="19" fillId="0" borderId="0" xfId="2" applyFont="1" applyAlignment="1">
      <alignment horizontal="center"/>
    </xf>
    <xf numFmtId="0" fontId="19" fillId="0" borderId="0" xfId="2" applyFont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4" fontId="6" fillId="2" borderId="33" xfId="0" applyNumberFormat="1" applyFont="1" applyFill="1" applyBorder="1" applyAlignment="1">
      <alignment horizontal="center" vertical="center" wrapText="1"/>
    </xf>
    <xf numFmtId="4" fontId="6" fillId="2" borderId="55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3" fillId="3" borderId="6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2" borderId="20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" vertical="center" wrapText="1"/>
    </xf>
    <xf numFmtId="3" fontId="6" fillId="2" borderId="27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4" fontId="6" fillId="2" borderId="44" xfId="0" applyNumberFormat="1" applyFont="1" applyFill="1" applyBorder="1" applyAlignment="1">
      <alignment horizontal="center" vertical="center" wrapText="1"/>
    </xf>
    <xf numFmtId="4" fontId="6" fillId="2" borderId="45" xfId="0" applyNumberFormat="1" applyFont="1" applyFill="1" applyBorder="1" applyAlignment="1">
      <alignment horizontal="center" vertical="center" wrapText="1"/>
    </xf>
    <xf numFmtId="4" fontId="6" fillId="2" borderId="35" xfId="0" applyNumberFormat="1" applyFont="1" applyFill="1" applyBorder="1" applyAlignment="1">
      <alignment horizontal="center" vertical="center" wrapText="1"/>
    </xf>
    <xf numFmtId="4" fontId="6" fillId="3" borderId="38" xfId="0" applyNumberFormat="1" applyFont="1" applyFill="1" applyBorder="1" applyAlignment="1">
      <alignment horizontal="center" vertical="center" wrapText="1"/>
    </xf>
    <xf numFmtId="4" fontId="6" fillId="3" borderId="39" xfId="0" applyNumberFormat="1" applyFont="1" applyFill="1" applyBorder="1" applyAlignment="1">
      <alignment horizontal="center" vertical="center" wrapText="1"/>
    </xf>
    <xf numFmtId="4" fontId="6" fillId="3" borderId="40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6" fillId="3" borderId="36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2" fillId="5" borderId="7" xfId="0" applyFont="1" applyFill="1" applyBorder="1" applyAlignment="1">
      <alignment horizontal="center" vertical="center" wrapText="1"/>
    </xf>
    <xf numFmtId="0" fontId="41" fillId="5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 wrapText="1"/>
    </xf>
    <xf numFmtId="0" fontId="41" fillId="5" borderId="5" xfId="0" applyFont="1" applyFill="1" applyBorder="1" applyAlignment="1">
      <alignment horizontal="center" vertical="center" wrapText="1"/>
    </xf>
    <xf numFmtId="0" fontId="41" fillId="5" borderId="6" xfId="0" applyFont="1" applyFill="1" applyBorder="1" applyAlignment="1">
      <alignment horizontal="center" vertical="center" wrapText="1"/>
    </xf>
    <xf numFmtId="0" fontId="42" fillId="5" borderId="32" xfId="0" applyFont="1" applyFill="1" applyBorder="1" applyAlignment="1">
      <alignment horizontal="center" vertical="center" wrapText="1"/>
    </xf>
    <xf numFmtId="0" fontId="42" fillId="5" borderId="61" xfId="0" applyFont="1" applyFill="1" applyBorder="1" applyAlignment="1">
      <alignment horizontal="center" vertical="center" wrapText="1"/>
    </xf>
    <xf numFmtId="0" fontId="42" fillId="5" borderId="33" xfId="0" applyFont="1" applyFill="1" applyBorder="1" applyAlignment="1">
      <alignment horizontal="center" vertical="center" wrapText="1"/>
    </xf>
    <xf numFmtId="0" fontId="41" fillId="5" borderId="32" xfId="0" applyFont="1" applyFill="1" applyBorder="1" applyAlignment="1">
      <alignment horizontal="center" vertical="center" wrapText="1"/>
    </xf>
    <xf numFmtId="0" fontId="41" fillId="5" borderId="61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2 2" xfId="6"/>
    <cellStyle name="Обычный 2 6 2" xfId="8"/>
    <cellStyle name="Обычный 3" xfId="4"/>
    <cellStyle name="Обычный 3 2 4" xfId="7"/>
    <cellStyle name="Процентный" xfId="1" builtinId="5"/>
    <cellStyle name="Процентный 2" xfId="3"/>
    <cellStyle name="Процентный 2 2" xf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8;&#1055;&#1054;&#1052;&#1057;/&#1058;&#1055;&#1054;&#1052;&#1057;%202020&#1075;/2.%20&#1058;&#1055;&#1054;&#1052;&#1057;%20&#8470;/1.%20&#1058;&#1055;&#1054;&#1052;&#1057;%202020%20&#1075;&#1086;&#1076;,%20&#8470;%20941-&#1087;&#1087;%20&#1086;&#1090;%2028.12.2019%20(&#1087;&#1088;&#1086;&#1090;&#1086;&#1082;&#1086;&#1083;%20&#8470;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СОГАЗ"/>
      <sheetName val="Прил №2 САХАМЕД"/>
      <sheetName val="Прил №2 СВОД"/>
      <sheetName val="Прил №1 (СОГАЗ-Мед)"/>
      <sheetName val="Прил №1 (САХАМЕДСТРАХ)"/>
      <sheetName val="Прил №1 (СВОД)"/>
      <sheetName val="НАСЕЛЕНИЕ"/>
      <sheetName val="ДЕНЬГИ ИЗ ТАРИФОВ"/>
      <sheetName val="Исследовния "/>
      <sheetName val="ОБЪЕМЫ АМП+СМП (2020-2022)"/>
      <sheetName val="ОБЪЕМЫ КС+ДС (профили)"/>
      <sheetName val="ОБЪЕМЫ КС+ДС (2020-2022)"/>
      <sheetName val="ДИАЛИЗ"/>
      <sheetName val="БАЛАНС"/>
      <sheetName val="Сводный расчёт"/>
      <sheetName val="проф. мероприятия"/>
      <sheetName val="Финансовая справка"/>
      <sheetName val="СВОД 2020 "/>
      <sheetName val="ТПОМС 2020-2022 гг (БЮДЖЕТ)"/>
      <sheetName val="ТПОМС 2020-2022 гг (НОРМАТИВ)"/>
      <sheetName val="Прил 13 -МТР"/>
      <sheetName val="Прил-10 (виды)"/>
      <sheetName val="Прил 9-ФАП"/>
      <sheetName val="Прил.7 (новое)"/>
      <sheetName val="прил 6-Профмероприятия"/>
      <sheetName val="Прил5-поф.возр"/>
      <sheetName val="ВМП"/>
      <sheetName val="ОБЛАСТНЫЕ"/>
      <sheetName val="ГОРОД"/>
      <sheetName val="Ола"/>
      <sheetName val="Омсукчан"/>
      <sheetName val="С-Эвенск"/>
      <sheetName val="Среднекан"/>
      <sheetName val="Сусуман"/>
      <sheetName val="Тенька"/>
      <sheetName val="Хасын"/>
      <sheetName val="Ягодное"/>
      <sheetName val="Прочие МО"/>
      <sheetName val="СТРУКТУРА"/>
      <sheetName val="k_затрат"/>
      <sheetName val="диспансериз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4">
          <cell r="I44">
            <v>1546193.0100000002</v>
          </cell>
        </row>
        <row r="3596">
          <cell r="I3596">
            <v>61.74</v>
          </cell>
        </row>
      </sheetData>
      <sheetData sheetId="6"/>
      <sheetData sheetId="7" refreshError="1"/>
      <sheetData sheetId="8" refreshError="1"/>
      <sheetData sheetId="9"/>
      <sheetData sheetId="10" refreshError="1"/>
      <sheetData sheetId="11">
        <row r="39">
          <cell r="B39">
            <v>0</v>
          </cell>
        </row>
      </sheetData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Normal="80" zoomScaleSheetLayoutView="100" workbookViewId="0">
      <selection activeCell="A6" sqref="A6:G6"/>
    </sheetView>
  </sheetViews>
  <sheetFormatPr defaultRowHeight="15" x14ac:dyDescent="0.25"/>
  <cols>
    <col min="1" max="1" width="23.5703125" style="237" customWidth="1"/>
    <col min="2" max="2" width="14.42578125" style="237" customWidth="1"/>
    <col min="3" max="3" width="19.85546875" style="237" customWidth="1"/>
    <col min="4" max="4" width="16.7109375" style="237" customWidth="1"/>
    <col min="5" max="5" width="22.42578125" style="237" customWidth="1"/>
    <col min="6" max="6" width="14.85546875" style="237" customWidth="1"/>
    <col min="7" max="7" width="18.140625" style="237" customWidth="1"/>
    <col min="8" max="8" width="13.140625" style="237" customWidth="1"/>
    <col min="9" max="9" width="15.7109375" style="237" customWidth="1"/>
    <col min="10" max="10" width="11.7109375" style="237" customWidth="1"/>
    <col min="11" max="16384" width="9.140625" style="237"/>
  </cols>
  <sheetData>
    <row r="1" spans="1:8" x14ac:dyDescent="0.25">
      <c r="F1" s="322" t="s">
        <v>70</v>
      </c>
      <c r="G1" s="322"/>
    </row>
    <row r="2" spans="1:8" x14ac:dyDescent="0.25">
      <c r="F2" s="322" t="s">
        <v>71</v>
      </c>
      <c r="G2" s="322"/>
    </row>
    <row r="3" spans="1:8" x14ac:dyDescent="0.25">
      <c r="F3" s="322" t="s">
        <v>72</v>
      </c>
      <c r="G3" s="322"/>
    </row>
    <row r="4" spans="1:8" x14ac:dyDescent="0.25">
      <c r="F4" s="315"/>
      <c r="G4" s="315"/>
    </row>
    <row r="5" spans="1:8" x14ac:dyDescent="0.25">
      <c r="F5" s="315"/>
      <c r="G5" s="315" t="s">
        <v>142</v>
      </c>
    </row>
    <row r="6" spans="1:8" ht="18" customHeight="1" x14ac:dyDescent="0.25">
      <c r="A6" s="323" t="s">
        <v>73</v>
      </c>
      <c r="B6" s="323"/>
      <c r="C6" s="323"/>
      <c r="D6" s="323"/>
      <c r="E6" s="323"/>
      <c r="F6" s="323"/>
      <c r="G6" s="323"/>
    </row>
    <row r="7" spans="1:8" ht="33" customHeight="1" x14ac:dyDescent="0.25">
      <c r="A7" s="324" t="s">
        <v>74</v>
      </c>
      <c r="B7" s="324"/>
      <c r="C7" s="324"/>
      <c r="D7" s="324"/>
      <c r="E7" s="324"/>
      <c r="F7" s="324"/>
      <c r="G7" s="324"/>
    </row>
    <row r="8" spans="1:8" ht="18" customHeight="1" x14ac:dyDescent="0.25">
      <c r="A8" s="323" t="s">
        <v>75</v>
      </c>
      <c r="B8" s="323"/>
      <c r="C8" s="323"/>
      <c r="D8" s="323"/>
      <c r="E8" s="323"/>
      <c r="F8" s="323"/>
      <c r="G8" s="323"/>
    </row>
    <row r="9" spans="1:8" ht="19.5" customHeight="1" thickBot="1" x14ac:dyDescent="0.3">
      <c r="A9" s="238"/>
    </row>
    <row r="10" spans="1:8" ht="52.5" customHeight="1" x14ac:dyDescent="0.25">
      <c r="A10" s="318" t="s">
        <v>76</v>
      </c>
      <c r="B10" s="320" t="s">
        <v>77</v>
      </c>
      <c r="C10" s="321"/>
      <c r="D10" s="320" t="s">
        <v>78</v>
      </c>
      <c r="E10" s="321"/>
      <c r="F10" s="320" t="s">
        <v>79</v>
      </c>
      <c r="G10" s="321"/>
    </row>
    <row r="11" spans="1:8" ht="36" customHeight="1" x14ac:dyDescent="0.25">
      <c r="A11" s="319"/>
      <c r="B11" s="239" t="s">
        <v>80</v>
      </c>
      <c r="C11" s="240" t="s">
        <v>81</v>
      </c>
      <c r="D11" s="239" t="s">
        <v>80</v>
      </c>
      <c r="E11" s="240" t="s">
        <v>81</v>
      </c>
      <c r="F11" s="239" t="s">
        <v>80</v>
      </c>
      <c r="G11" s="240" t="s">
        <v>81</v>
      </c>
    </row>
    <row r="12" spans="1:8" x14ac:dyDescent="0.25">
      <c r="A12" s="241" t="s">
        <v>82</v>
      </c>
      <c r="B12" s="239">
        <v>1</v>
      </c>
      <c r="C12" s="240">
        <v>2</v>
      </c>
      <c r="D12" s="239">
        <v>3</v>
      </c>
      <c r="E12" s="240">
        <v>4</v>
      </c>
      <c r="F12" s="239">
        <v>5</v>
      </c>
      <c r="G12" s="240">
        <v>6</v>
      </c>
    </row>
    <row r="13" spans="1:8" ht="42.75" customHeight="1" x14ac:dyDescent="0.25">
      <c r="A13" s="242" t="s">
        <v>58</v>
      </c>
      <c r="B13" s="243" t="s">
        <v>83</v>
      </c>
      <c r="C13" s="244">
        <f>C15+C19+C20+C22+C26+C30</f>
        <v>5932146.3999999994</v>
      </c>
      <c r="D13" s="243" t="s">
        <v>83</v>
      </c>
      <c r="E13" s="244">
        <f>E15+E19+E20+E22+E26+E30</f>
        <v>4398155.04</v>
      </c>
      <c r="F13" s="243" t="s">
        <v>83</v>
      </c>
      <c r="G13" s="245">
        <f>E13/C13</f>
        <v>0.74141040079523335</v>
      </c>
    </row>
    <row r="14" spans="1:8" ht="18" customHeight="1" x14ac:dyDescent="0.25">
      <c r="A14" s="246" t="s">
        <v>84</v>
      </c>
      <c r="B14" s="247"/>
      <c r="C14" s="248"/>
      <c r="D14" s="247"/>
      <c r="E14" s="248"/>
      <c r="F14" s="247"/>
      <c r="G14" s="248"/>
    </row>
    <row r="15" spans="1:8" ht="38.25" x14ac:dyDescent="0.25">
      <c r="A15" s="241" t="s">
        <v>85</v>
      </c>
      <c r="B15" s="247">
        <v>429934</v>
      </c>
      <c r="C15" s="248">
        <f>C16+C17+C18</f>
        <v>699702.2</v>
      </c>
      <c r="D15" s="249">
        <f>SUM(D16:D18)</f>
        <v>351151</v>
      </c>
      <c r="E15" s="248">
        <f>E16+E17+E18</f>
        <v>707257.30999999994</v>
      </c>
      <c r="F15" s="250">
        <f>D15/B15</f>
        <v>0.81675559504482087</v>
      </c>
      <c r="G15" s="251">
        <f>E15/C15</f>
        <v>1.0107976078966165</v>
      </c>
      <c r="H15" s="252"/>
    </row>
    <row r="16" spans="1:8" ht="51.75" customHeight="1" x14ac:dyDescent="0.25">
      <c r="A16" s="253" t="s">
        <v>86</v>
      </c>
      <c r="B16" s="254">
        <v>26559</v>
      </c>
      <c r="C16" s="255">
        <v>168785.30000000002</v>
      </c>
      <c r="D16" s="256">
        <v>6456</v>
      </c>
      <c r="E16" s="257">
        <v>48624.810000000005</v>
      </c>
      <c r="F16" s="258">
        <f t="shared" ref="F16:G30" si="0">D16/B16</f>
        <v>0.24308144131932677</v>
      </c>
      <c r="G16" s="259">
        <f t="shared" si="0"/>
        <v>0.28808675874024575</v>
      </c>
      <c r="H16" s="252"/>
    </row>
    <row r="17" spans="1:8" ht="57" customHeight="1" x14ac:dyDescent="0.25">
      <c r="A17" s="253" t="s">
        <v>87</v>
      </c>
      <c r="B17" s="254">
        <v>37197</v>
      </c>
      <c r="C17" s="255">
        <v>205641.7</v>
      </c>
      <c r="D17" s="256">
        <v>12893</v>
      </c>
      <c r="E17" s="257">
        <v>75229.81</v>
      </c>
      <c r="F17" s="258">
        <f t="shared" si="0"/>
        <v>0.34661397424523482</v>
      </c>
      <c r="G17" s="259">
        <f t="shared" si="0"/>
        <v>0.36582954721732019</v>
      </c>
      <c r="H17" s="252"/>
    </row>
    <row r="18" spans="1:8" ht="27" x14ac:dyDescent="0.25">
      <c r="A18" s="260" t="s">
        <v>88</v>
      </c>
      <c r="B18" s="261">
        <v>366178</v>
      </c>
      <c r="C18" s="262">
        <v>325275.2</v>
      </c>
      <c r="D18" s="261">
        <f>351151-D16-D17</f>
        <v>331802</v>
      </c>
      <c r="E18" s="262">
        <f>707257.31-E16-E17</f>
        <v>583402.68999999994</v>
      </c>
      <c r="F18" s="263">
        <f t="shared" si="0"/>
        <v>0.90612215916849181</v>
      </c>
      <c r="G18" s="264">
        <f t="shared" si="0"/>
        <v>1.7935664631057022</v>
      </c>
      <c r="H18" s="252"/>
    </row>
    <row r="19" spans="1:8" ht="30.75" customHeight="1" x14ac:dyDescent="0.25">
      <c r="A19" s="265" t="s">
        <v>89</v>
      </c>
      <c r="B19" s="266">
        <v>79237</v>
      </c>
      <c r="C19" s="267">
        <v>155098.29999999999</v>
      </c>
      <c r="D19" s="268">
        <v>45348</v>
      </c>
      <c r="E19" s="269">
        <v>90936.92</v>
      </c>
      <c r="F19" s="270">
        <f t="shared" si="0"/>
        <v>0.57230839128185063</v>
      </c>
      <c r="G19" s="251">
        <f t="shared" si="0"/>
        <v>0.58631796737939745</v>
      </c>
      <c r="H19" s="252"/>
    </row>
    <row r="20" spans="1:8" ht="30" customHeight="1" x14ac:dyDescent="0.25">
      <c r="A20" s="265" t="s">
        <v>90</v>
      </c>
      <c r="B20" s="266">
        <v>259721</v>
      </c>
      <c r="C20" s="267">
        <v>1195796.8</v>
      </c>
      <c r="D20" s="268">
        <v>92535</v>
      </c>
      <c r="E20" s="269">
        <v>584980.80000000005</v>
      </c>
      <c r="F20" s="270">
        <f t="shared" si="0"/>
        <v>0.35628616861940315</v>
      </c>
      <c r="G20" s="251">
        <f t="shared" si="0"/>
        <v>0.48919749576182175</v>
      </c>
      <c r="H20" s="252"/>
    </row>
    <row r="21" spans="1:8" x14ac:dyDescent="0.25">
      <c r="A21" s="271" t="s">
        <v>91</v>
      </c>
      <c r="B21" s="272"/>
      <c r="C21" s="273"/>
      <c r="D21" s="272"/>
      <c r="E21" s="273"/>
      <c r="F21" s="274"/>
      <c r="G21" s="275"/>
    </row>
    <row r="22" spans="1:8" ht="25.5" x14ac:dyDescent="0.25">
      <c r="A22" s="265" t="s">
        <v>92</v>
      </c>
      <c r="B22" s="266">
        <v>25930</v>
      </c>
      <c r="C22" s="267">
        <v>2930024.4999999991</v>
      </c>
      <c r="D22" s="276">
        <v>16419</v>
      </c>
      <c r="E22" s="277">
        <v>2249971.73</v>
      </c>
      <c r="F22" s="270">
        <f t="shared" si="0"/>
        <v>0.63320478210566911</v>
      </c>
      <c r="G22" s="251">
        <f t="shared" si="0"/>
        <v>0.76790201924932733</v>
      </c>
    </row>
    <row r="23" spans="1:8" ht="21.75" customHeight="1" x14ac:dyDescent="0.25">
      <c r="A23" s="278" t="s">
        <v>93</v>
      </c>
      <c r="B23" s="279">
        <v>1469</v>
      </c>
      <c r="C23" s="267">
        <v>459495</v>
      </c>
      <c r="D23" s="256">
        <v>1065</v>
      </c>
      <c r="E23" s="257">
        <v>280267.57</v>
      </c>
      <c r="F23" s="258">
        <f t="shared" si="0"/>
        <v>0.72498298162014974</v>
      </c>
      <c r="G23" s="280">
        <f t="shared" si="0"/>
        <v>0.6099469417512704</v>
      </c>
    </row>
    <row r="24" spans="1:8" ht="30" x14ac:dyDescent="0.25">
      <c r="A24" s="281" t="s">
        <v>94</v>
      </c>
      <c r="B24" s="266">
        <v>734</v>
      </c>
      <c r="C24" s="267">
        <v>82201.3</v>
      </c>
      <c r="D24" s="256">
        <v>181</v>
      </c>
      <c r="E24" s="257">
        <v>22539.65</v>
      </c>
      <c r="F24" s="258">
        <f t="shared" si="0"/>
        <v>0.24659400544959129</v>
      </c>
      <c r="G24" s="280">
        <f t="shared" si="0"/>
        <v>0.27420065132789873</v>
      </c>
    </row>
    <row r="25" spans="1:8" x14ac:dyDescent="0.25">
      <c r="A25" s="271" t="s">
        <v>95</v>
      </c>
      <c r="B25" s="272"/>
      <c r="C25" s="273"/>
      <c r="D25" s="272"/>
      <c r="E25" s="273"/>
      <c r="F25" s="274"/>
      <c r="G25" s="275"/>
    </row>
    <row r="26" spans="1:8" ht="25.5" customHeight="1" x14ac:dyDescent="0.25">
      <c r="A26" s="265" t="s">
        <v>96</v>
      </c>
      <c r="B26" s="272">
        <v>9238</v>
      </c>
      <c r="C26" s="273">
        <v>615120.20000000019</v>
      </c>
      <c r="D26" s="272">
        <v>4508</v>
      </c>
      <c r="E26" s="273">
        <v>512386.95</v>
      </c>
      <c r="F26" s="270">
        <f t="shared" si="0"/>
        <v>0.48798441221043515</v>
      </c>
      <c r="G26" s="251">
        <f t="shared" si="0"/>
        <v>0.83298670731346469</v>
      </c>
    </row>
    <row r="27" spans="1:8" ht="25.5" x14ac:dyDescent="0.25">
      <c r="A27" s="278" t="s">
        <v>97</v>
      </c>
      <c r="B27" s="282">
        <v>1019</v>
      </c>
      <c r="C27" s="267">
        <v>245286.49999999997</v>
      </c>
      <c r="D27" s="256">
        <v>738</v>
      </c>
      <c r="E27" s="277">
        <v>290099.07</v>
      </c>
      <c r="F27" s="258">
        <f t="shared" si="0"/>
        <v>0.72423945044160942</v>
      </c>
      <c r="G27" s="251">
        <f t="shared" si="0"/>
        <v>1.1826948079083033</v>
      </c>
    </row>
    <row r="28" spans="1:8" x14ac:dyDescent="0.25">
      <c r="A28" s="278" t="s">
        <v>98</v>
      </c>
      <c r="B28" s="282">
        <v>90</v>
      </c>
      <c r="C28" s="267">
        <v>10679.7</v>
      </c>
      <c r="D28" s="283">
        <v>1</v>
      </c>
      <c r="E28" s="277">
        <v>118.71</v>
      </c>
      <c r="F28" s="270">
        <f t="shared" si="0"/>
        <v>1.1111111111111112E-2</v>
      </c>
      <c r="G28" s="251">
        <f t="shared" si="0"/>
        <v>1.1115480771931795E-2</v>
      </c>
    </row>
    <row r="29" spans="1:8" x14ac:dyDescent="0.25">
      <c r="A29" s="246" t="s">
        <v>99</v>
      </c>
      <c r="B29" s="249"/>
      <c r="C29" s="248"/>
      <c r="D29" s="249"/>
      <c r="E29" s="248"/>
      <c r="F29" s="284"/>
      <c r="G29" s="275"/>
    </row>
    <row r="30" spans="1:8" ht="15.75" thickBot="1" x14ac:dyDescent="0.3">
      <c r="A30" s="285" t="s">
        <v>100</v>
      </c>
      <c r="B30" s="286">
        <v>42553</v>
      </c>
      <c r="C30" s="287">
        <v>336404.39999999997</v>
      </c>
      <c r="D30" s="288">
        <v>29394</v>
      </c>
      <c r="E30" s="289">
        <v>252621.33</v>
      </c>
      <c r="F30" s="290">
        <f t="shared" si="0"/>
        <v>0.69076210842948793</v>
      </c>
      <c r="G30" s="291">
        <f t="shared" si="0"/>
        <v>0.75094538002475597</v>
      </c>
    </row>
  </sheetData>
  <autoFilter ref="A12:G30"/>
  <mergeCells count="10">
    <mergeCell ref="A10:A11"/>
    <mergeCell ref="B10:C10"/>
    <mergeCell ref="D10:E10"/>
    <mergeCell ref="F10:G10"/>
    <mergeCell ref="F1:G1"/>
    <mergeCell ref="F2:G2"/>
    <mergeCell ref="F3:G3"/>
    <mergeCell ref="A6:G6"/>
    <mergeCell ref="A7:G7"/>
    <mergeCell ref="A8:G8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68"/>
  <sheetViews>
    <sheetView view="pageBreakPreview" zoomScale="80" zoomScaleNormal="100" zoomScaleSheetLayoutView="80" workbookViewId="0">
      <selection activeCell="D3" sqref="D3"/>
    </sheetView>
  </sheetViews>
  <sheetFormatPr defaultColWidth="9.28515625" defaultRowHeight="18.75" customHeight="1" outlineLevelRow="1" x14ac:dyDescent="0.25"/>
  <cols>
    <col min="1" max="1" width="63.140625" style="61" customWidth="1"/>
    <col min="2" max="2" width="16.28515625" style="61" customWidth="1"/>
    <col min="3" max="3" width="17.7109375" style="2" customWidth="1"/>
    <col min="4" max="4" width="17" style="2" customWidth="1"/>
    <col min="5" max="5" width="11.7109375" style="2" bestFit="1" customWidth="1"/>
    <col min="6" max="7" width="12.28515625" style="2" customWidth="1"/>
    <col min="8" max="8" width="12.28515625" style="2" bestFit="1" customWidth="1"/>
    <col min="9" max="9" width="9.28515625" style="2"/>
    <col min="10" max="10" width="19.7109375" style="2" customWidth="1"/>
    <col min="11" max="16384" width="9.28515625" style="2"/>
  </cols>
  <sheetData>
    <row r="1" spans="1:5" ht="57" customHeight="1" outlineLevel="1" x14ac:dyDescent="0.2">
      <c r="A1" s="331" t="s">
        <v>69</v>
      </c>
      <c r="B1" s="331"/>
      <c r="C1" s="331"/>
      <c r="D1" s="331"/>
    </row>
    <row r="2" spans="1:5" ht="22.5" customHeight="1" outlineLevel="1" x14ac:dyDescent="0.2">
      <c r="A2" s="332" t="s">
        <v>54</v>
      </c>
      <c r="B2" s="332"/>
      <c r="C2" s="332"/>
      <c r="D2" s="332"/>
    </row>
    <row r="3" spans="1:5" s="6" customFormat="1" ht="18.75" customHeight="1" outlineLevel="1" x14ac:dyDescent="0.2">
      <c r="A3" s="3"/>
      <c r="B3" s="5"/>
      <c r="D3" s="316" t="s">
        <v>143</v>
      </c>
    </row>
    <row r="4" spans="1:5" s="7" customFormat="1" ht="31.5" customHeight="1" outlineLevel="1" x14ac:dyDescent="0.2">
      <c r="A4" s="329" t="s">
        <v>0</v>
      </c>
      <c r="B4" s="330" t="s">
        <v>55</v>
      </c>
      <c r="C4" s="330" t="s">
        <v>61</v>
      </c>
      <c r="D4" s="330" t="s">
        <v>65</v>
      </c>
    </row>
    <row r="5" spans="1:5" s="7" customFormat="1" ht="13.5" customHeight="1" outlineLevel="1" x14ac:dyDescent="0.2">
      <c r="A5" s="329"/>
      <c r="B5" s="330"/>
      <c r="C5" s="330"/>
      <c r="D5" s="330"/>
    </row>
    <row r="6" spans="1:5" s="8" customFormat="1" ht="28.5" customHeight="1" outlineLevel="1" x14ac:dyDescent="0.2">
      <c r="A6" s="329"/>
      <c r="B6" s="62" t="s">
        <v>7</v>
      </c>
      <c r="C6" s="62" t="s">
        <v>7</v>
      </c>
      <c r="D6" s="62" t="s">
        <v>7</v>
      </c>
    </row>
    <row r="7" spans="1:5" s="7" customFormat="1" ht="18.75" customHeight="1" outlineLevel="1" x14ac:dyDescent="0.2">
      <c r="A7" s="63" t="s">
        <v>11</v>
      </c>
      <c r="B7" s="63">
        <v>2</v>
      </c>
      <c r="C7" s="63">
        <v>3</v>
      </c>
      <c r="D7" s="63">
        <v>4</v>
      </c>
    </row>
    <row r="8" spans="1:5" ht="18.75" customHeight="1" outlineLevel="1" x14ac:dyDescent="0.2">
      <c r="A8" s="9" t="s">
        <v>12</v>
      </c>
      <c r="B8" s="12">
        <v>1546193.0100000002</v>
      </c>
      <c r="C8" s="12">
        <f>АМП!W9+КС!E8+ДС!E8+СМП!E8</f>
        <v>1136904.9300000002</v>
      </c>
      <c r="D8" s="207">
        <f>C8/B8</f>
        <v>0.7352930214061697</v>
      </c>
      <c r="E8" s="13"/>
    </row>
    <row r="9" spans="1:5" ht="18.75" customHeight="1" outlineLevel="1" x14ac:dyDescent="0.2">
      <c r="A9" s="9" t="s">
        <v>13</v>
      </c>
      <c r="B9" s="12">
        <v>674634.04</v>
      </c>
      <c r="C9" s="12">
        <f>АМП!W10+КС!E9+ДС!E9+СМП!E9</f>
        <v>591392.75</v>
      </c>
      <c r="D9" s="207">
        <f t="shared" ref="D9:D11" si="0">C9/B9</f>
        <v>0.87661267433229428</v>
      </c>
      <c r="E9" s="13"/>
    </row>
    <row r="10" spans="1:5" ht="32.25" customHeight="1" outlineLevel="1" x14ac:dyDescent="0.2">
      <c r="A10" s="9" t="s">
        <v>14</v>
      </c>
      <c r="B10" s="12">
        <v>12318.4</v>
      </c>
      <c r="C10" s="12">
        <f>АМП!W11+КС!E10+ДС!E10+СМП!E10</f>
        <v>3222.5</v>
      </c>
      <c r="D10" s="207">
        <f t="shared" si="0"/>
        <v>0.26160053253669308</v>
      </c>
      <c r="E10" s="13"/>
    </row>
    <row r="11" spans="1:5" ht="22.5" customHeight="1" outlineLevel="1" x14ac:dyDescent="0.2">
      <c r="A11" s="9" t="s">
        <v>49</v>
      </c>
      <c r="B11" s="12">
        <v>1004.7</v>
      </c>
      <c r="C11" s="12">
        <f>АМП!W12+КС!E11+ДС!E11+СМП!E11</f>
        <v>0</v>
      </c>
      <c r="D11" s="207">
        <f t="shared" si="0"/>
        <v>0</v>
      </c>
      <c r="E11" s="13"/>
    </row>
    <row r="12" spans="1:5" ht="18.75" hidden="1" customHeight="1" outlineLevel="1" x14ac:dyDescent="0.2">
      <c r="A12" s="232" t="s">
        <v>15</v>
      </c>
      <c r="B12" s="233">
        <f>SUM(B8:B11)</f>
        <v>2234150.1500000004</v>
      </c>
      <c r="C12" s="233">
        <f t="shared" ref="C12:D12" si="1">SUM(C8:C11)</f>
        <v>1731520.1800000002</v>
      </c>
      <c r="D12" s="234">
        <f t="shared" si="1"/>
        <v>1.8735062282751569</v>
      </c>
      <c r="E12" s="18"/>
    </row>
    <row r="13" spans="1:5" ht="18.75" customHeight="1" outlineLevel="1" x14ac:dyDescent="0.2">
      <c r="A13" s="9" t="s">
        <v>16</v>
      </c>
      <c r="B13" s="12">
        <v>637553.69999999995</v>
      </c>
      <c r="C13" s="12">
        <f>АМП!W14+КС!E13+ДС!E13+СМП!E13</f>
        <v>558128.18999999994</v>
      </c>
      <c r="D13" s="207">
        <f t="shared" ref="D13:D18" si="2">C13/B13</f>
        <v>0.87542145861595655</v>
      </c>
      <c r="E13" s="13"/>
    </row>
    <row r="14" spans="1:5" ht="18.75" customHeight="1" outlineLevel="1" x14ac:dyDescent="0.2">
      <c r="A14" s="9" t="s">
        <v>17</v>
      </c>
      <c r="B14" s="12">
        <v>433967.51</v>
      </c>
      <c r="C14" s="12">
        <f>АМП!W15+КС!E14+ДС!E14+СМП!E14</f>
        <v>300066.53000000003</v>
      </c>
      <c r="D14" s="207">
        <f t="shared" si="2"/>
        <v>0.69144929766746832</v>
      </c>
      <c r="E14" s="13"/>
    </row>
    <row r="15" spans="1:5" ht="18.75" customHeight="1" outlineLevel="1" x14ac:dyDescent="0.2">
      <c r="A15" s="9" t="s">
        <v>18</v>
      </c>
      <c r="B15" s="12">
        <v>42389.960000000006</v>
      </c>
      <c r="C15" s="12">
        <f>АМП!W16+КС!E15+ДС!E15+СМП!E15</f>
        <v>32747.500000000004</v>
      </c>
      <c r="D15" s="207">
        <f t="shared" si="2"/>
        <v>0.77252962729853958</v>
      </c>
      <c r="E15" s="13"/>
    </row>
    <row r="16" spans="1:5" ht="18.75" customHeight="1" outlineLevel="1" x14ac:dyDescent="0.2">
      <c r="A16" s="9" t="s">
        <v>19</v>
      </c>
      <c r="B16" s="12">
        <v>553366.1</v>
      </c>
      <c r="C16" s="12">
        <f>АМП!W17+КС!E16+ДС!E16+СМП!E16</f>
        <v>410917.17</v>
      </c>
      <c r="D16" s="207">
        <f t="shared" si="2"/>
        <v>0.7425774184576901</v>
      </c>
      <c r="E16" s="13"/>
    </row>
    <row r="17" spans="1:8" ht="18.75" customHeight="1" outlineLevel="1" x14ac:dyDescent="0.2">
      <c r="A17" s="9" t="s">
        <v>20</v>
      </c>
      <c r="B17" s="12">
        <v>205512.40000000002</v>
      </c>
      <c r="C17" s="12">
        <f>АМП!W18+КС!E17+ДС!E17+СМП!E17</f>
        <v>138953.03</v>
      </c>
      <c r="D17" s="207">
        <f t="shared" si="2"/>
        <v>0.67612966419544507</v>
      </c>
      <c r="E17" s="34"/>
    </row>
    <row r="18" spans="1:8" ht="18.75" customHeight="1" outlineLevel="1" x14ac:dyDescent="0.2">
      <c r="A18" s="9" t="s">
        <v>21</v>
      </c>
      <c r="B18" s="12">
        <v>229922.74000000002</v>
      </c>
      <c r="C18" s="12">
        <f>АМП!W19+КС!E18+ДС!E18+СМП!E18</f>
        <v>174799.40999999997</v>
      </c>
      <c r="D18" s="207">
        <f t="shared" si="2"/>
        <v>0.76025281361904418</v>
      </c>
      <c r="E18" s="34"/>
    </row>
    <row r="19" spans="1:8" ht="18.75" hidden="1" customHeight="1" outlineLevel="1" x14ac:dyDescent="0.2">
      <c r="A19" s="232" t="s">
        <v>22</v>
      </c>
      <c r="B19" s="233">
        <f t="shared" ref="B19:D19" si="3">SUM(B13:B18)</f>
        <v>2102712.41</v>
      </c>
      <c r="C19" s="233">
        <f t="shared" si="3"/>
        <v>1615611.8299999998</v>
      </c>
      <c r="D19" s="234">
        <f t="shared" si="3"/>
        <v>4.5183602798541447</v>
      </c>
      <c r="E19" s="34"/>
    </row>
    <row r="20" spans="1:8" ht="18.75" customHeight="1" outlineLevel="1" x14ac:dyDescent="0.2">
      <c r="A20" s="9" t="s">
        <v>23</v>
      </c>
      <c r="B20" s="12">
        <v>215655.15999999997</v>
      </c>
      <c r="C20" s="12">
        <f>АМП!W21+КС!E20+ДС!E20+СМП!E20</f>
        <v>174329.85</v>
      </c>
      <c r="D20" s="207">
        <f t="shared" ref="D20:D27" si="4">C20/B20</f>
        <v>0.80837319171959543</v>
      </c>
      <c r="E20" s="13"/>
      <c r="H20" s="13"/>
    </row>
    <row r="21" spans="1:8" ht="18.75" customHeight="1" outlineLevel="1" x14ac:dyDescent="0.2">
      <c r="A21" s="9" t="s">
        <v>24</v>
      </c>
      <c r="B21" s="12">
        <v>130843.33</v>
      </c>
      <c r="C21" s="12">
        <f>АМП!W22+КС!E21+ДС!E21+СМП!E21</f>
        <v>104639.73000000001</v>
      </c>
      <c r="D21" s="207">
        <f t="shared" si="4"/>
        <v>0.79973300893518995</v>
      </c>
      <c r="E21" s="13"/>
      <c r="H21" s="13"/>
    </row>
    <row r="22" spans="1:8" ht="18.75" customHeight="1" outlineLevel="1" x14ac:dyDescent="0.2">
      <c r="A22" s="9" t="s">
        <v>25</v>
      </c>
      <c r="B22" s="12">
        <v>14579.869999999999</v>
      </c>
      <c r="C22" s="12">
        <f>АМП!W23+КС!E22+ДС!E22+СМП!E22</f>
        <v>7087.7605900000008</v>
      </c>
      <c r="D22" s="207">
        <f t="shared" si="4"/>
        <v>0.48613331874701221</v>
      </c>
      <c r="E22" s="72"/>
      <c r="H22" s="13"/>
    </row>
    <row r="23" spans="1:8" ht="18.75" customHeight="1" outlineLevel="1" x14ac:dyDescent="0.2">
      <c r="A23" s="9" t="s">
        <v>26</v>
      </c>
      <c r="B23" s="12">
        <v>86115.4</v>
      </c>
      <c r="C23" s="12">
        <f>АМП!W24+КС!E23+ДС!E23+СМП!E23</f>
        <v>66734.89</v>
      </c>
      <c r="D23" s="207">
        <f t="shared" si="4"/>
        <v>0.7749472219835245</v>
      </c>
      <c r="E23" s="13"/>
      <c r="H23" s="13"/>
    </row>
    <row r="24" spans="1:8" ht="18.75" customHeight="1" outlineLevel="1" x14ac:dyDescent="0.2">
      <c r="A24" s="9" t="s">
        <v>27</v>
      </c>
      <c r="B24" s="12">
        <v>194868.90999999997</v>
      </c>
      <c r="C24" s="12">
        <f>АМП!W25+КС!E24+ДС!E24+СМП!E24</f>
        <v>153128.07999999999</v>
      </c>
      <c r="D24" s="207">
        <f t="shared" si="4"/>
        <v>0.78580046452766639</v>
      </c>
      <c r="E24" s="13"/>
      <c r="H24" s="13"/>
    </row>
    <row r="25" spans="1:8" ht="18.75" customHeight="1" outlineLevel="1" x14ac:dyDescent="0.2">
      <c r="A25" s="9" t="s">
        <v>28</v>
      </c>
      <c r="B25" s="12">
        <v>104014.59000000001</v>
      </c>
      <c r="C25" s="12">
        <f>АМП!W26+КС!E25+ДС!E25+СМП!E25</f>
        <v>82404.67</v>
      </c>
      <c r="D25" s="207">
        <f t="shared" si="4"/>
        <v>0.79224145381912281</v>
      </c>
      <c r="E25" s="13"/>
      <c r="H25" s="13"/>
    </row>
    <row r="26" spans="1:8" ht="18.75" customHeight="1" outlineLevel="1" x14ac:dyDescent="0.2">
      <c r="A26" s="9" t="s">
        <v>50</v>
      </c>
      <c r="B26" s="12">
        <v>180621.90000000002</v>
      </c>
      <c r="C26" s="12">
        <f>АМП!W27+КС!E26+ДС!E26+СМП!E26</f>
        <v>137186.93000000002</v>
      </c>
      <c r="D26" s="207">
        <f t="shared" si="4"/>
        <v>0.75952545067901511</v>
      </c>
      <c r="E26" s="13"/>
      <c r="H26" s="13"/>
    </row>
    <row r="27" spans="1:8" ht="18.75" customHeight="1" outlineLevel="1" thickBot="1" x14ac:dyDescent="0.25">
      <c r="A27" s="9" t="s">
        <v>29</v>
      </c>
      <c r="B27" s="12">
        <v>279644.13</v>
      </c>
      <c r="C27" s="12">
        <f>АМП!W28+КС!E27+ДС!E27+СМП!E27</f>
        <v>224273.14</v>
      </c>
      <c r="D27" s="207">
        <f t="shared" si="4"/>
        <v>0.80199480675671619</v>
      </c>
      <c r="E27" s="13"/>
      <c r="H27" s="13"/>
    </row>
    <row r="28" spans="1:8" ht="18.75" hidden="1" customHeight="1" outlineLevel="1" x14ac:dyDescent="0.2">
      <c r="A28" s="232" t="s">
        <v>30</v>
      </c>
      <c r="B28" s="233">
        <f t="shared" ref="B28:D28" si="5">SUM(B20:B27)</f>
        <v>1206343.29</v>
      </c>
      <c r="C28" s="233">
        <f t="shared" si="5"/>
        <v>949785.05059000012</v>
      </c>
      <c r="D28" s="234">
        <f t="shared" si="5"/>
        <v>6.0087489171678419</v>
      </c>
      <c r="E28" s="13"/>
      <c r="F28" s="18"/>
      <c r="G28" s="18"/>
    </row>
    <row r="29" spans="1:8" ht="18.75" customHeight="1" outlineLevel="1" thickBot="1" x14ac:dyDescent="0.25">
      <c r="A29" s="90" t="s">
        <v>62</v>
      </c>
      <c r="B29" s="233">
        <f t="shared" ref="B29:D29" si="6">B28+B19+B12</f>
        <v>5543205.8500000006</v>
      </c>
      <c r="C29" s="233">
        <f t="shared" si="6"/>
        <v>4296917.0605900008</v>
      </c>
      <c r="D29" s="234">
        <f t="shared" si="6"/>
        <v>12.400615425297143</v>
      </c>
      <c r="E29" s="13"/>
    </row>
    <row r="30" spans="1:8" ht="19.5" customHeight="1" outlineLevel="1" x14ac:dyDescent="0.2">
      <c r="A30" s="326" t="s">
        <v>51</v>
      </c>
      <c r="B30" s="327"/>
      <c r="C30" s="327"/>
      <c r="D30" s="328"/>
    </row>
    <row r="31" spans="1:8" ht="18.75" customHeight="1" outlineLevel="1" x14ac:dyDescent="0.2">
      <c r="A31" s="36" t="s">
        <v>31</v>
      </c>
      <c r="B31" s="12">
        <v>5171.2000000000007</v>
      </c>
      <c r="C31" s="12">
        <f>АМП!W32+КС!E31+ДС!E31+СМП!E31</f>
        <v>3791.7840000000006</v>
      </c>
      <c r="D31" s="207">
        <f t="shared" ref="D31:D42" si="7">C31/B31</f>
        <v>0.7332503094059406</v>
      </c>
      <c r="E31" s="13"/>
    </row>
    <row r="32" spans="1:8" ht="18.75" customHeight="1" outlineLevel="1" x14ac:dyDescent="0.2">
      <c r="A32" s="36" t="s">
        <v>32</v>
      </c>
      <c r="B32" s="12">
        <v>3234.8</v>
      </c>
      <c r="C32" s="12">
        <f>АМП!W33+КС!E32+ДС!E32+СМП!E32</f>
        <v>3197.6080000000002</v>
      </c>
      <c r="D32" s="207">
        <f t="shared" si="7"/>
        <v>0.98850253493260787</v>
      </c>
      <c r="E32" s="13"/>
    </row>
    <row r="33" spans="1:7" ht="18.75" customHeight="1" outlineLevel="1" x14ac:dyDescent="0.2">
      <c r="A33" s="36" t="s">
        <v>33</v>
      </c>
      <c r="B33" s="12">
        <v>30844.799999999999</v>
      </c>
      <c r="C33" s="12">
        <f>АМП!W34+КС!E33+ДС!E33+СМП!E33</f>
        <v>22098.583999999999</v>
      </c>
      <c r="D33" s="207">
        <f t="shared" si="7"/>
        <v>0.71644439257184356</v>
      </c>
      <c r="E33" s="13"/>
    </row>
    <row r="34" spans="1:7" ht="18.75" customHeight="1" outlineLevel="1" x14ac:dyDescent="0.2">
      <c r="A34" s="36" t="s">
        <v>34</v>
      </c>
      <c r="B34" s="12">
        <v>46132.800000000003</v>
      </c>
      <c r="C34" s="12">
        <f>АМП!W35+КС!E34+ДС!E34+СМП!E34</f>
        <v>32459.592000000001</v>
      </c>
      <c r="D34" s="207">
        <f t="shared" si="7"/>
        <v>0.70361200707522631</v>
      </c>
      <c r="E34" s="13"/>
    </row>
    <row r="35" spans="1:7" ht="18.75" customHeight="1" outlineLevel="1" x14ac:dyDescent="0.2">
      <c r="A35" s="36" t="s">
        <v>35</v>
      </c>
      <c r="B35" s="12">
        <v>10760.400000000001</v>
      </c>
      <c r="C35" s="12">
        <f>АМП!W36+КС!E35+ДС!E35+СМП!E35</f>
        <v>8601.1200000000008</v>
      </c>
      <c r="D35" s="207">
        <f t="shared" si="7"/>
        <v>0.79933087989294072</v>
      </c>
      <c r="E35" s="13"/>
    </row>
    <row r="36" spans="1:7" ht="26.25" customHeight="1" outlineLevel="1" x14ac:dyDescent="0.2">
      <c r="A36" s="36" t="s">
        <v>52</v>
      </c>
      <c r="B36" s="12">
        <v>1004.7</v>
      </c>
      <c r="C36" s="12">
        <f>АМП!W37+КС!E36+ДС!E36+СМП!E36</f>
        <v>0</v>
      </c>
      <c r="D36" s="207">
        <f t="shared" si="7"/>
        <v>0</v>
      </c>
      <c r="E36" s="13"/>
    </row>
    <row r="37" spans="1:7" ht="18.75" customHeight="1" outlineLevel="1" x14ac:dyDescent="0.2">
      <c r="A37" s="36" t="s">
        <v>36</v>
      </c>
      <c r="B37" s="12">
        <v>7529.2</v>
      </c>
      <c r="C37" s="12">
        <f>АМП!W38+КС!E37+ДС!E37+СМП!E37</f>
        <v>4668.1080000000002</v>
      </c>
      <c r="D37" s="207">
        <f t="shared" si="7"/>
        <v>0.62000053126494181</v>
      </c>
      <c r="E37" s="13"/>
    </row>
    <row r="38" spans="1:7" ht="18.75" customHeight="1" outlineLevel="1" x14ac:dyDescent="0.2">
      <c r="A38" s="36" t="s">
        <v>53</v>
      </c>
      <c r="B38" s="12">
        <v>9355.6</v>
      </c>
      <c r="C38" s="12">
        <f>АМП!W39+КС!E38+ДС!E38+СМП!E38</f>
        <v>6475.9039999999995</v>
      </c>
      <c r="D38" s="207">
        <f t="shared" si="7"/>
        <v>0.69219547650604973</v>
      </c>
      <c r="E38" s="13"/>
    </row>
    <row r="39" spans="1:7" ht="18.75" customHeight="1" outlineLevel="1" x14ac:dyDescent="0.2">
      <c r="A39" s="36" t="s">
        <v>37</v>
      </c>
      <c r="B39" s="12">
        <v>21950.7</v>
      </c>
      <c r="C39" s="12">
        <f>АМП!W40+КС!E39+ДС!E39+СМП!E39</f>
        <v>16661.38</v>
      </c>
      <c r="D39" s="207">
        <f t="shared" si="7"/>
        <v>0.75903638608335955</v>
      </c>
      <c r="E39" s="13"/>
    </row>
    <row r="40" spans="1:7" ht="18.75" customHeight="1" outlineLevel="1" x14ac:dyDescent="0.2">
      <c r="A40" s="36" t="s">
        <v>38</v>
      </c>
      <c r="B40" s="12">
        <v>4584.3</v>
      </c>
      <c r="C40" s="12">
        <f>АМП!W41+КС!E40+ДС!E40+СМП!E40</f>
        <v>2711.27</v>
      </c>
      <c r="D40" s="207">
        <f t="shared" si="7"/>
        <v>0.59142508125558968</v>
      </c>
      <c r="E40" s="13"/>
    </row>
    <row r="41" spans="1:7" ht="18.75" customHeight="1" outlineLevel="1" x14ac:dyDescent="0.2">
      <c r="A41" s="49" t="s">
        <v>39</v>
      </c>
      <c r="B41" s="235">
        <v>853.4</v>
      </c>
      <c r="C41" s="12">
        <f>АМП!W42+КС!E41+ДС!E41+СМП!E41</f>
        <v>453.83</v>
      </c>
      <c r="D41" s="207">
        <f t="shared" si="7"/>
        <v>0.53179048511835014</v>
      </c>
      <c r="E41" s="13"/>
    </row>
    <row r="42" spans="1:7" ht="33" customHeight="1" outlineLevel="1" x14ac:dyDescent="0.2">
      <c r="A42" s="236" t="s">
        <v>40</v>
      </c>
      <c r="B42" s="233">
        <f t="shared" ref="B42:C42" si="8">SUM(B31:B41)</f>
        <v>141421.9</v>
      </c>
      <c r="C42" s="233">
        <f t="shared" si="8"/>
        <v>101119.18000000001</v>
      </c>
      <c r="D42" s="234">
        <f t="shared" si="7"/>
        <v>0.71501782962893312</v>
      </c>
      <c r="E42" s="13"/>
    </row>
    <row r="43" spans="1:7" ht="39.75" customHeight="1" outlineLevel="1" x14ac:dyDescent="0.2">
      <c r="A43" s="325" t="s">
        <v>41</v>
      </c>
      <c r="B43" s="325"/>
      <c r="C43" s="325"/>
      <c r="D43" s="325"/>
      <c r="E43" s="13"/>
      <c r="F43" s="13"/>
      <c r="G43" s="13"/>
    </row>
    <row r="44" spans="1:7" ht="18.75" customHeight="1" outlineLevel="1" x14ac:dyDescent="0.2">
      <c r="A44" s="49" t="s">
        <v>42</v>
      </c>
      <c r="B44" s="235">
        <v>474.9</v>
      </c>
      <c r="C44" s="12">
        <f>АМП!W45+КС!E44+ДС!E44+СМП!E44</f>
        <v>0</v>
      </c>
      <c r="D44" s="207">
        <f t="shared" ref="D44:D47" si="9">C44/B44</f>
        <v>0</v>
      </c>
      <c r="E44" s="13"/>
    </row>
    <row r="45" spans="1:7" ht="18.75" customHeight="1" outlineLevel="1" x14ac:dyDescent="0.2">
      <c r="A45" s="49" t="s">
        <v>43</v>
      </c>
      <c r="B45" s="235">
        <v>474.9</v>
      </c>
      <c r="C45" s="12">
        <f>АМП!W46+КС!E45+ДС!E45+СМП!E45</f>
        <v>118.71</v>
      </c>
      <c r="D45" s="207">
        <f t="shared" si="9"/>
        <v>0.24996841440303222</v>
      </c>
      <c r="E45" s="13"/>
    </row>
    <row r="46" spans="1:7" ht="18.75" customHeight="1" outlineLevel="1" x14ac:dyDescent="0.2">
      <c r="A46" s="49" t="s">
        <v>44</v>
      </c>
      <c r="B46" s="235">
        <v>527.6</v>
      </c>
      <c r="C46" s="12">
        <f>АМП!W47+КС!E46+ДС!E46+СМП!E46</f>
        <v>0</v>
      </c>
      <c r="D46" s="207">
        <f t="shared" si="9"/>
        <v>0</v>
      </c>
      <c r="E46" s="13"/>
    </row>
    <row r="47" spans="1:7" ht="18.75" customHeight="1" outlineLevel="1" x14ac:dyDescent="0.2">
      <c r="A47" s="49" t="s">
        <v>45</v>
      </c>
      <c r="B47" s="235">
        <v>1294.1500000000001</v>
      </c>
      <c r="C47" s="12">
        <f>АМП!W48+КС!E47+ДС!E47+СМП!E47</f>
        <v>0</v>
      </c>
      <c r="D47" s="207">
        <f t="shared" si="9"/>
        <v>0</v>
      </c>
      <c r="E47" s="13"/>
    </row>
    <row r="48" spans="1:7" ht="18.75" customHeight="1" outlineLevel="1" x14ac:dyDescent="0.2">
      <c r="A48" s="236" t="s">
        <v>46</v>
      </c>
      <c r="B48" s="233">
        <f t="shared" ref="B48:D48" si="10">SUM(B44:B47)</f>
        <v>2771.55</v>
      </c>
      <c r="C48" s="233">
        <f t="shared" si="10"/>
        <v>118.71</v>
      </c>
      <c r="D48" s="234">
        <f t="shared" si="10"/>
        <v>0.24996841440303222</v>
      </c>
      <c r="E48" s="13"/>
    </row>
    <row r="49" spans="1:8" ht="34.5" customHeight="1" outlineLevel="1" x14ac:dyDescent="0.2">
      <c r="A49" s="236" t="s">
        <v>47</v>
      </c>
      <c r="B49" s="233">
        <f>B48+B42+B29</f>
        <v>5687399.3000000007</v>
      </c>
      <c r="C49" s="233">
        <f t="shared" ref="C49" si="11">C48+C42+C29</f>
        <v>4398154.9505900005</v>
      </c>
      <c r="D49" s="234">
        <f t="shared" ref="D49" si="12">C49/B49</f>
        <v>0.77331566127069717</v>
      </c>
      <c r="E49" s="18"/>
      <c r="F49" s="13"/>
      <c r="G49" s="13"/>
      <c r="H49" s="13"/>
    </row>
    <row r="65" spans="1:2" ht="18.75" customHeight="1" x14ac:dyDescent="0.25">
      <c r="A65" s="2"/>
      <c r="B65" s="60"/>
    </row>
    <row r="66" spans="1:2" ht="18.75" customHeight="1" x14ac:dyDescent="0.25">
      <c r="A66" s="2"/>
      <c r="B66" s="60"/>
    </row>
    <row r="68" spans="1:2" ht="18.75" customHeight="1" x14ac:dyDescent="0.25">
      <c r="A68" s="2"/>
    </row>
  </sheetData>
  <sheetProtection formatCells="0" insertRows="0"/>
  <mergeCells count="8">
    <mergeCell ref="A1:D1"/>
    <mergeCell ref="A2:D2"/>
    <mergeCell ref="B4:B5"/>
    <mergeCell ref="A43:D43"/>
    <mergeCell ref="A30:D30"/>
    <mergeCell ref="A4:A6"/>
    <mergeCell ref="C4:C5"/>
    <mergeCell ref="D4:D5"/>
  </mergeCells>
  <pageMargins left="0.39370078740157483" right="0" top="0" bottom="0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8"/>
  <sheetViews>
    <sheetView view="pageBreakPreview" zoomScale="80" zoomScaleNormal="100" zoomScaleSheetLayoutView="80" workbookViewId="0">
      <selection activeCell="A57" sqref="A57"/>
    </sheetView>
  </sheetViews>
  <sheetFormatPr defaultColWidth="9.28515625" defaultRowHeight="18.75" customHeight="1" outlineLevelRow="1" x14ac:dyDescent="0.25"/>
  <cols>
    <col min="1" max="1" width="62" style="61" customWidth="1"/>
    <col min="2" max="2" width="11.7109375" style="86" customWidth="1"/>
    <col min="3" max="3" width="12.7109375" style="86" customWidth="1"/>
    <col min="4" max="4" width="12.28515625" style="89" customWidth="1"/>
    <col min="5" max="5" width="13.140625" style="89" customWidth="1"/>
    <col min="6" max="6" width="11.5703125" style="61" customWidth="1"/>
    <col min="7" max="7" width="12.140625" style="61" customWidth="1"/>
    <col min="8" max="9" width="11.7109375" style="2" customWidth="1"/>
    <col min="10" max="10" width="11.7109375" style="2" bestFit="1" customWidth="1"/>
    <col min="11" max="12" width="12.28515625" style="2" customWidth="1"/>
    <col min="13" max="13" width="12.28515625" style="2" bestFit="1" customWidth="1"/>
    <col min="14" max="14" width="9.28515625" style="2"/>
    <col min="15" max="15" width="19.7109375" style="2" customWidth="1"/>
    <col min="16" max="16384" width="9.28515625" style="2"/>
  </cols>
  <sheetData>
    <row r="1" spans="1:10" ht="47.25" customHeight="1" outlineLevel="1" x14ac:dyDescent="0.2">
      <c r="A1" s="332" t="s">
        <v>67</v>
      </c>
      <c r="B1" s="332"/>
      <c r="C1" s="332"/>
      <c r="D1" s="332"/>
      <c r="E1" s="332"/>
      <c r="F1" s="332"/>
      <c r="G1" s="332"/>
    </row>
    <row r="2" spans="1:10" ht="18.75" customHeight="1" outlineLevel="1" x14ac:dyDescent="0.2">
      <c r="A2" s="333" t="s">
        <v>54</v>
      </c>
      <c r="B2" s="333"/>
      <c r="C2" s="333"/>
      <c r="D2" s="333"/>
      <c r="E2" s="333"/>
      <c r="F2" s="333"/>
      <c r="G2" s="333"/>
    </row>
    <row r="3" spans="1:10" s="6" customFormat="1" ht="18.75" customHeight="1" outlineLevel="1" x14ac:dyDescent="0.2">
      <c r="A3" s="3"/>
      <c r="B3" s="4"/>
      <c r="C3" s="4"/>
      <c r="D3"/>
      <c r="E3"/>
      <c r="F3" s="5"/>
      <c r="G3" s="5" t="s">
        <v>144</v>
      </c>
    </row>
    <row r="4" spans="1:10" s="7" customFormat="1" ht="46.5" customHeight="1" outlineLevel="1" x14ac:dyDescent="0.2">
      <c r="A4" s="334" t="s">
        <v>0</v>
      </c>
      <c r="B4" s="337" t="s">
        <v>55</v>
      </c>
      <c r="C4" s="338"/>
      <c r="D4" s="337" t="s">
        <v>61</v>
      </c>
      <c r="E4" s="338"/>
      <c r="F4" s="337" t="s">
        <v>65</v>
      </c>
      <c r="G4" s="338"/>
    </row>
    <row r="5" spans="1:10" s="7" customFormat="1" ht="24" customHeight="1" outlineLevel="1" x14ac:dyDescent="0.2">
      <c r="A5" s="335"/>
      <c r="B5" s="339" t="s">
        <v>68</v>
      </c>
      <c r="C5" s="341" t="s">
        <v>7</v>
      </c>
      <c r="D5" s="339" t="s">
        <v>68</v>
      </c>
      <c r="E5" s="341" t="s">
        <v>7</v>
      </c>
      <c r="F5" s="339" t="s">
        <v>68</v>
      </c>
      <c r="G5" s="341" t="s">
        <v>7</v>
      </c>
    </row>
    <row r="6" spans="1:10" s="8" customFormat="1" ht="21" customHeight="1" outlineLevel="1" x14ac:dyDescent="0.2">
      <c r="A6" s="336"/>
      <c r="B6" s="340"/>
      <c r="C6" s="342"/>
      <c r="D6" s="340"/>
      <c r="E6" s="342"/>
      <c r="F6" s="340"/>
      <c r="G6" s="342"/>
    </row>
    <row r="7" spans="1:10" s="7" customFormat="1" ht="18.75" customHeight="1" outlineLevel="1" x14ac:dyDescent="0.2">
      <c r="A7" s="63" t="s">
        <v>11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</row>
    <row r="8" spans="1:10" ht="18.75" hidden="1" customHeight="1" outlineLevel="1" x14ac:dyDescent="0.2">
      <c r="A8" s="9" t="s">
        <v>12</v>
      </c>
      <c r="B8" s="10"/>
      <c r="C8" s="12"/>
      <c r="D8" s="10"/>
      <c r="E8" s="12"/>
      <c r="F8" s="206"/>
      <c r="G8" s="207"/>
      <c r="J8" s="13"/>
    </row>
    <row r="9" spans="1:10" ht="18.75" hidden="1" customHeight="1" outlineLevel="1" x14ac:dyDescent="0.2">
      <c r="A9" s="9" t="s">
        <v>13</v>
      </c>
      <c r="B9" s="10"/>
      <c r="C9" s="12"/>
      <c r="D9" s="10"/>
      <c r="E9" s="12"/>
      <c r="F9" s="206"/>
      <c r="G9" s="207"/>
      <c r="J9" s="13"/>
    </row>
    <row r="10" spans="1:10" ht="32.25" hidden="1" customHeight="1" outlineLevel="1" x14ac:dyDescent="0.2">
      <c r="A10" s="9" t="s">
        <v>14</v>
      </c>
      <c r="B10" s="10"/>
      <c r="C10" s="12"/>
      <c r="D10" s="10"/>
      <c r="E10" s="12"/>
      <c r="F10" s="206"/>
      <c r="G10" s="207"/>
      <c r="H10" s="13"/>
      <c r="I10" s="13"/>
      <c r="J10" s="13"/>
    </row>
    <row r="11" spans="1:10" ht="21.75" hidden="1" customHeight="1" outlineLevel="1" thickBot="1" x14ac:dyDescent="0.25">
      <c r="A11" s="64" t="s">
        <v>49</v>
      </c>
      <c r="B11" s="65"/>
      <c r="C11" s="66"/>
      <c r="D11" s="65"/>
      <c r="E11" s="66"/>
      <c r="F11" s="208"/>
      <c r="G11" s="209"/>
      <c r="H11" s="13"/>
      <c r="I11" s="13"/>
      <c r="J11" s="13"/>
    </row>
    <row r="12" spans="1:10" ht="18.75" hidden="1" customHeight="1" outlineLevel="1" thickBot="1" x14ac:dyDescent="0.25">
      <c r="A12" s="67" t="s">
        <v>15</v>
      </c>
      <c r="B12" s="68">
        <v>0</v>
      </c>
      <c r="C12" s="69">
        <v>0</v>
      </c>
      <c r="D12" s="68"/>
      <c r="E12" s="69"/>
      <c r="F12" s="210">
        <f t="shared" ref="F12:G12" si="0">SUM(F8:F11)</f>
        <v>0</v>
      </c>
      <c r="G12" s="211">
        <f t="shared" si="0"/>
        <v>0</v>
      </c>
      <c r="H12" s="18"/>
      <c r="I12" s="18"/>
      <c r="J12" s="18"/>
    </row>
    <row r="13" spans="1:10" ht="18.75" hidden="1" customHeight="1" outlineLevel="1" x14ac:dyDescent="0.2">
      <c r="A13" s="19" t="s">
        <v>16</v>
      </c>
      <c r="B13" s="20"/>
      <c r="C13" s="22"/>
      <c r="D13" s="20"/>
      <c r="E13" s="22"/>
      <c r="F13" s="212"/>
      <c r="G13" s="213"/>
      <c r="H13" s="13"/>
      <c r="I13" s="13"/>
      <c r="J13" s="13"/>
    </row>
    <row r="14" spans="1:10" ht="18.75" hidden="1" customHeight="1" outlineLevel="1" x14ac:dyDescent="0.2">
      <c r="A14" s="19" t="s">
        <v>17</v>
      </c>
      <c r="B14" s="20"/>
      <c r="C14" s="22"/>
      <c r="D14" s="20"/>
      <c r="E14" s="22"/>
      <c r="F14" s="212"/>
      <c r="G14" s="207"/>
      <c r="H14" s="13"/>
      <c r="I14" s="13"/>
      <c r="J14" s="13"/>
    </row>
    <row r="15" spans="1:10" ht="18.75" hidden="1" customHeight="1" outlineLevel="1" x14ac:dyDescent="0.2">
      <c r="A15" s="24" t="s">
        <v>18</v>
      </c>
      <c r="B15" s="23"/>
      <c r="C15" s="12"/>
      <c r="D15" s="23"/>
      <c r="E15" s="12"/>
      <c r="F15" s="214"/>
      <c r="G15" s="207"/>
      <c r="H15" s="13"/>
      <c r="I15" s="13"/>
      <c r="J15" s="13"/>
    </row>
    <row r="16" spans="1:10" ht="18.75" hidden="1" customHeight="1" outlineLevel="1" x14ac:dyDescent="0.2">
      <c r="A16" s="24" t="s">
        <v>19</v>
      </c>
      <c r="B16" s="23"/>
      <c r="C16" s="12"/>
      <c r="D16" s="23"/>
      <c r="E16" s="12"/>
      <c r="F16" s="214"/>
      <c r="G16" s="207"/>
      <c r="H16" s="13"/>
      <c r="I16" s="13"/>
      <c r="J16" s="13"/>
    </row>
    <row r="17" spans="1:13" ht="18.75" hidden="1" customHeight="1" outlineLevel="1" x14ac:dyDescent="0.2">
      <c r="A17" s="24" t="s">
        <v>20</v>
      </c>
      <c r="B17" s="23"/>
      <c r="C17" s="12"/>
      <c r="D17" s="23"/>
      <c r="E17" s="12"/>
      <c r="F17" s="214"/>
      <c r="G17" s="207"/>
      <c r="H17" s="13"/>
      <c r="I17" s="13"/>
      <c r="J17" s="34"/>
    </row>
    <row r="18" spans="1:13" ht="18.75" customHeight="1" outlineLevel="1" x14ac:dyDescent="0.2">
      <c r="A18" s="26" t="s">
        <v>21</v>
      </c>
      <c r="B18" s="27">
        <v>23806</v>
      </c>
      <c r="C18" s="17">
        <v>229922.74000000002</v>
      </c>
      <c r="D18" s="27">
        <f>18296</f>
        <v>18296</v>
      </c>
      <c r="E18" s="17">
        <f>173590.58+1208.83</f>
        <v>174799.40999999997</v>
      </c>
      <c r="F18" s="215">
        <f>D18/B18</f>
        <v>0.76854574477022597</v>
      </c>
      <c r="G18" s="216">
        <f>E18/C18</f>
        <v>0.76025281361904418</v>
      </c>
      <c r="H18" s="13"/>
      <c r="I18" s="13"/>
      <c r="J18" s="34"/>
    </row>
    <row r="19" spans="1:13" ht="18.75" hidden="1" customHeight="1" outlineLevel="1" thickBot="1" x14ac:dyDescent="0.25">
      <c r="A19" s="67" t="s">
        <v>22</v>
      </c>
      <c r="B19" s="68"/>
      <c r="C19" s="69"/>
      <c r="D19" s="68"/>
      <c r="E19" s="69"/>
      <c r="F19" s="210"/>
      <c r="G19" s="211"/>
      <c r="H19" s="18"/>
      <c r="I19" s="29"/>
      <c r="J19" s="34"/>
    </row>
    <row r="20" spans="1:13" ht="18.75" customHeight="1" outlineLevel="1" x14ac:dyDescent="0.2">
      <c r="A20" s="30" t="s">
        <v>23</v>
      </c>
      <c r="B20" s="31">
        <v>3857</v>
      </c>
      <c r="C20" s="32">
        <v>20051.189999999999</v>
      </c>
      <c r="D20" s="31">
        <v>2565</v>
      </c>
      <c r="E20" s="32">
        <v>15256.42</v>
      </c>
      <c r="F20" s="217">
        <f t="shared" ref="F20:F29" si="1">D20/B20</f>
        <v>0.66502463054187189</v>
      </c>
      <c r="G20" s="218">
        <f t="shared" ref="G20:G29" si="2">E20/C20</f>
        <v>0.760873544163713</v>
      </c>
      <c r="H20" s="13"/>
      <c r="I20" s="13"/>
      <c r="J20" s="13"/>
      <c r="M20" s="13"/>
    </row>
    <row r="21" spans="1:13" ht="18.75" customHeight="1" outlineLevel="1" x14ac:dyDescent="0.2">
      <c r="A21" s="9" t="s">
        <v>24</v>
      </c>
      <c r="B21" s="10">
        <v>1599</v>
      </c>
      <c r="C21" s="11">
        <v>11769.08</v>
      </c>
      <c r="D21" s="10">
        <v>1103</v>
      </c>
      <c r="E21" s="11">
        <v>8975.1200000000008</v>
      </c>
      <c r="F21" s="206">
        <f t="shared" si="1"/>
        <v>0.68980612883051906</v>
      </c>
      <c r="G21" s="219">
        <f t="shared" si="2"/>
        <v>0.76260166470106416</v>
      </c>
      <c r="H21" s="13"/>
      <c r="I21" s="13"/>
      <c r="J21" s="13"/>
      <c r="M21" s="13"/>
    </row>
    <row r="22" spans="1:13" ht="18.75" customHeight="1" outlineLevel="1" x14ac:dyDescent="0.2">
      <c r="A22" s="9" t="s">
        <v>25</v>
      </c>
      <c r="B22" s="10">
        <v>0</v>
      </c>
      <c r="C22" s="11">
        <v>0</v>
      </c>
      <c r="D22" s="10"/>
      <c r="E22" s="11"/>
      <c r="F22" s="206"/>
      <c r="G22" s="219"/>
      <c r="H22" s="13"/>
      <c r="I22" s="13"/>
      <c r="J22" s="72"/>
      <c r="M22" s="13"/>
    </row>
    <row r="23" spans="1:13" ht="18.75" customHeight="1" outlineLevel="1" x14ac:dyDescent="0.2">
      <c r="A23" s="9" t="s">
        <v>26</v>
      </c>
      <c r="B23" s="10">
        <v>1068</v>
      </c>
      <c r="C23" s="11">
        <v>5946.72</v>
      </c>
      <c r="D23" s="10">
        <v>743</v>
      </c>
      <c r="E23" s="11">
        <v>4617.72</v>
      </c>
      <c r="F23" s="206">
        <f t="shared" si="1"/>
        <v>0.69569288389513106</v>
      </c>
      <c r="G23" s="219">
        <f t="shared" si="2"/>
        <v>0.776515457260473</v>
      </c>
      <c r="H23" s="13"/>
      <c r="I23" s="13"/>
      <c r="J23" s="13"/>
      <c r="M23" s="13"/>
    </row>
    <row r="24" spans="1:13" ht="18.75" customHeight="1" outlineLevel="1" x14ac:dyDescent="0.2">
      <c r="A24" s="9" t="s">
        <v>27</v>
      </c>
      <c r="B24" s="10">
        <v>2819</v>
      </c>
      <c r="C24" s="11">
        <v>17425.61</v>
      </c>
      <c r="D24" s="10">
        <f>1661</f>
        <v>1661</v>
      </c>
      <c r="E24" s="11">
        <f>13669.5+80.59</f>
        <v>13750.09</v>
      </c>
      <c r="F24" s="206">
        <f t="shared" si="1"/>
        <v>0.5892160340546293</v>
      </c>
      <c r="G24" s="219">
        <f t="shared" si="2"/>
        <v>0.78907366800932643</v>
      </c>
      <c r="H24" s="13"/>
      <c r="I24" s="13"/>
      <c r="J24" s="13"/>
      <c r="M24" s="13"/>
    </row>
    <row r="25" spans="1:13" ht="18.75" customHeight="1" outlineLevel="1" x14ac:dyDescent="0.2">
      <c r="A25" s="9" t="s">
        <v>28</v>
      </c>
      <c r="B25" s="10">
        <v>1776</v>
      </c>
      <c r="C25" s="11">
        <v>8963.85</v>
      </c>
      <c r="D25" s="10">
        <v>1211</v>
      </c>
      <c r="E25" s="11">
        <v>7094.49</v>
      </c>
      <c r="F25" s="206">
        <f t="shared" si="1"/>
        <v>0.68186936936936937</v>
      </c>
      <c r="G25" s="219">
        <f t="shared" si="2"/>
        <v>0.79145568031593561</v>
      </c>
      <c r="H25" s="13"/>
      <c r="I25" s="13"/>
      <c r="J25" s="13"/>
      <c r="M25" s="13"/>
    </row>
    <row r="26" spans="1:13" ht="18.75" customHeight="1" outlineLevel="1" x14ac:dyDescent="0.2">
      <c r="A26" s="14" t="s">
        <v>50</v>
      </c>
      <c r="B26" s="10">
        <v>1916</v>
      </c>
      <c r="C26" s="16">
        <v>16497.439999999999</v>
      </c>
      <c r="D26" s="10">
        <v>1594</v>
      </c>
      <c r="E26" s="16">
        <v>12341.23</v>
      </c>
      <c r="F26" s="206">
        <f t="shared" si="1"/>
        <v>0.83194154488517746</v>
      </c>
      <c r="G26" s="220">
        <f t="shared" si="2"/>
        <v>0.74806939743378364</v>
      </c>
      <c r="H26" s="13"/>
      <c r="I26" s="13"/>
      <c r="J26" s="13"/>
      <c r="M26" s="13"/>
    </row>
    <row r="27" spans="1:13" ht="18.75" customHeight="1" outlineLevel="1" thickBot="1" x14ac:dyDescent="0.25">
      <c r="A27" s="9" t="s">
        <v>29</v>
      </c>
      <c r="B27" s="10">
        <v>3933</v>
      </c>
      <c r="C27" s="11">
        <v>19447.77</v>
      </c>
      <c r="D27" s="10">
        <f>2221</f>
        <v>2221</v>
      </c>
      <c r="E27" s="11">
        <f>15464.49+322.36</f>
        <v>15786.85</v>
      </c>
      <c r="F27" s="206">
        <f t="shared" si="1"/>
        <v>0.56470887363335875</v>
      </c>
      <c r="G27" s="219">
        <f t="shared" si="2"/>
        <v>0.81175630933520915</v>
      </c>
      <c r="H27" s="34"/>
      <c r="I27" s="34"/>
      <c r="J27" s="13"/>
      <c r="M27" s="13"/>
    </row>
    <row r="28" spans="1:13" ht="18.75" hidden="1" customHeight="1" outlineLevel="1" thickBot="1" x14ac:dyDescent="0.25">
      <c r="A28" s="67" t="s">
        <v>30</v>
      </c>
      <c r="B28" s="73"/>
      <c r="C28" s="70"/>
      <c r="D28" s="73"/>
      <c r="E28" s="70"/>
      <c r="F28" s="221"/>
      <c r="G28" s="222"/>
      <c r="H28" s="29"/>
      <c r="I28" s="29"/>
      <c r="J28" s="13"/>
      <c r="K28" s="18"/>
      <c r="L28" s="18"/>
    </row>
    <row r="29" spans="1:13" ht="18.75" customHeight="1" outlineLevel="1" thickBot="1" x14ac:dyDescent="0.25">
      <c r="A29" s="90" t="s">
        <v>62</v>
      </c>
      <c r="B29" s="73">
        <f>SUM(B8:B28)</f>
        <v>40774</v>
      </c>
      <c r="C29" s="70">
        <f>SUM(C8:C28)</f>
        <v>330024.39999999997</v>
      </c>
      <c r="D29" s="73">
        <f>SUM(D8:D28)</f>
        <v>29394</v>
      </c>
      <c r="E29" s="70">
        <f>SUM(E8:E28)</f>
        <v>252621.33</v>
      </c>
      <c r="F29" s="221">
        <f t="shared" si="1"/>
        <v>0.72090057389512929</v>
      </c>
      <c r="G29" s="222">
        <f t="shared" si="2"/>
        <v>0.7654625839786392</v>
      </c>
      <c r="H29" s="29"/>
      <c r="I29" s="29"/>
      <c r="J29" s="13"/>
    </row>
    <row r="30" spans="1:13" ht="18.75" hidden="1" customHeight="1" outlineLevel="1" thickBot="1" x14ac:dyDescent="0.25">
      <c r="A30" s="343" t="s">
        <v>51</v>
      </c>
      <c r="B30" s="344"/>
      <c r="C30" s="344"/>
      <c r="D30" s="344"/>
      <c r="E30" s="344"/>
      <c r="F30" s="344"/>
      <c r="G30" s="344"/>
    </row>
    <row r="31" spans="1:13" ht="18.75" hidden="1" customHeight="1" outlineLevel="1" x14ac:dyDescent="0.2">
      <c r="A31" s="36" t="s">
        <v>31</v>
      </c>
      <c r="B31" s="37"/>
      <c r="C31" s="12"/>
      <c r="D31" s="37"/>
      <c r="E31" s="12"/>
      <c r="F31" s="37"/>
      <c r="G31" s="12"/>
      <c r="H31" s="13"/>
      <c r="I31" s="13"/>
      <c r="J31" s="13"/>
    </row>
    <row r="32" spans="1:13" ht="18.75" hidden="1" customHeight="1" outlineLevel="1" x14ac:dyDescent="0.2">
      <c r="A32" s="36" t="s">
        <v>32</v>
      </c>
      <c r="B32" s="37"/>
      <c r="C32" s="12"/>
      <c r="D32" s="37"/>
      <c r="E32" s="12"/>
      <c r="F32" s="37"/>
      <c r="G32" s="12"/>
      <c r="H32" s="13"/>
      <c r="I32" s="13"/>
      <c r="J32" s="13"/>
    </row>
    <row r="33" spans="1:12" ht="18.75" hidden="1" customHeight="1" outlineLevel="1" x14ac:dyDescent="0.2">
      <c r="A33" s="36" t="s">
        <v>33</v>
      </c>
      <c r="B33" s="40"/>
      <c r="C33" s="41"/>
      <c r="D33" s="40"/>
      <c r="E33" s="41"/>
      <c r="F33" s="40"/>
      <c r="G33" s="41"/>
      <c r="H33" s="13"/>
      <c r="I33" s="13"/>
      <c r="J33" s="13"/>
    </row>
    <row r="34" spans="1:12" ht="18.75" hidden="1" customHeight="1" outlineLevel="1" x14ac:dyDescent="0.2">
      <c r="A34" s="42" t="s">
        <v>34</v>
      </c>
      <c r="B34" s="44"/>
      <c r="C34" s="22"/>
      <c r="D34" s="44"/>
      <c r="E34" s="22"/>
      <c r="F34" s="44"/>
      <c r="G34" s="22"/>
      <c r="H34" s="13"/>
      <c r="I34" s="13"/>
      <c r="J34" s="13"/>
    </row>
    <row r="35" spans="1:12" ht="18.75" hidden="1" customHeight="1" outlineLevel="1" x14ac:dyDescent="0.2">
      <c r="A35" s="36" t="s">
        <v>35</v>
      </c>
      <c r="B35" s="37"/>
      <c r="C35" s="12"/>
      <c r="D35" s="37"/>
      <c r="E35" s="12"/>
      <c r="F35" s="37"/>
      <c r="G35" s="12"/>
      <c r="H35" s="13"/>
      <c r="I35" s="13"/>
      <c r="J35" s="13"/>
    </row>
    <row r="36" spans="1:12" ht="18.75" hidden="1" customHeight="1" outlineLevel="1" x14ac:dyDescent="0.2">
      <c r="A36" s="45" t="s">
        <v>52</v>
      </c>
      <c r="B36" s="47"/>
      <c r="C36" s="48"/>
      <c r="D36" s="47"/>
      <c r="E36" s="48"/>
      <c r="F36" s="47"/>
      <c r="G36" s="48"/>
      <c r="H36" s="13"/>
      <c r="I36" s="13"/>
      <c r="J36" s="13"/>
    </row>
    <row r="37" spans="1:12" ht="18.75" hidden="1" customHeight="1" outlineLevel="1" x14ac:dyDescent="0.2">
      <c r="A37" s="36" t="s">
        <v>36</v>
      </c>
      <c r="B37" s="37"/>
      <c r="C37" s="12"/>
      <c r="D37" s="37"/>
      <c r="E37" s="12"/>
      <c r="F37" s="37"/>
      <c r="G37" s="12"/>
      <c r="H37" s="13"/>
      <c r="I37" s="13"/>
      <c r="J37" s="13"/>
    </row>
    <row r="38" spans="1:12" ht="18.75" hidden="1" customHeight="1" outlineLevel="1" x14ac:dyDescent="0.2">
      <c r="A38" s="36" t="s">
        <v>53</v>
      </c>
      <c r="B38" s="37"/>
      <c r="C38" s="12"/>
      <c r="D38" s="37"/>
      <c r="E38" s="12"/>
      <c r="F38" s="37"/>
      <c r="G38" s="12"/>
      <c r="H38" s="13"/>
      <c r="I38" s="13"/>
      <c r="J38" s="13"/>
    </row>
    <row r="39" spans="1:12" ht="18.75" hidden="1" customHeight="1" outlineLevel="1" x14ac:dyDescent="0.2">
      <c r="A39" s="36" t="s">
        <v>37</v>
      </c>
      <c r="B39" s="37"/>
      <c r="C39" s="12"/>
      <c r="D39" s="37"/>
      <c r="E39" s="12"/>
      <c r="F39" s="37"/>
      <c r="G39" s="12"/>
      <c r="H39" s="13"/>
      <c r="I39" s="13"/>
      <c r="J39" s="13"/>
    </row>
    <row r="40" spans="1:12" ht="18.75" hidden="1" customHeight="1" outlineLevel="1" x14ac:dyDescent="0.2">
      <c r="A40" s="36" t="s">
        <v>38</v>
      </c>
      <c r="B40" s="37"/>
      <c r="C40" s="12"/>
      <c r="D40" s="37"/>
      <c r="E40" s="12"/>
      <c r="F40" s="37"/>
      <c r="G40" s="12"/>
      <c r="H40" s="13"/>
      <c r="I40" s="13"/>
      <c r="J40" s="13"/>
    </row>
    <row r="41" spans="1:12" ht="18.75" hidden="1" customHeight="1" outlineLevel="1" x14ac:dyDescent="0.2">
      <c r="A41" s="49" t="s">
        <v>39</v>
      </c>
      <c r="B41" s="50"/>
      <c r="C41" s="51"/>
      <c r="D41" s="50"/>
      <c r="E41" s="51"/>
      <c r="F41" s="50"/>
      <c r="G41" s="51"/>
      <c r="H41" s="13"/>
      <c r="I41" s="13"/>
      <c r="J41" s="13"/>
    </row>
    <row r="42" spans="1:12" ht="33" hidden="1" customHeight="1" outlineLevel="1" thickBot="1" x14ac:dyDescent="0.25">
      <c r="A42" s="76" t="s">
        <v>40</v>
      </c>
      <c r="B42" s="77">
        <f>SUM(B31:B41)</f>
        <v>0</v>
      </c>
      <c r="C42" s="78">
        <f t="shared" ref="C42:G42" si="3">SUM(C31:C41)</f>
        <v>0</v>
      </c>
      <c r="D42" s="77">
        <f t="shared" si="3"/>
        <v>0</v>
      </c>
      <c r="E42" s="78">
        <f t="shared" si="3"/>
        <v>0</v>
      </c>
      <c r="F42" s="77">
        <f t="shared" si="3"/>
        <v>0</v>
      </c>
      <c r="G42" s="78">
        <f t="shared" si="3"/>
        <v>0</v>
      </c>
      <c r="H42" s="13"/>
      <c r="I42" s="13"/>
      <c r="J42" s="13"/>
    </row>
    <row r="43" spans="1:12" ht="26.25" hidden="1" customHeight="1" outlineLevel="1" thickBot="1" x14ac:dyDescent="0.25">
      <c r="A43" s="345" t="s">
        <v>41</v>
      </c>
      <c r="B43" s="346"/>
      <c r="C43" s="346"/>
      <c r="D43" s="346"/>
      <c r="E43" s="346"/>
      <c r="F43" s="346"/>
      <c r="G43" s="346"/>
      <c r="H43" s="13"/>
      <c r="I43" s="13"/>
      <c r="J43" s="13"/>
      <c r="K43" s="13"/>
      <c r="L43" s="13"/>
    </row>
    <row r="44" spans="1:12" ht="18.75" hidden="1" customHeight="1" outlineLevel="1" x14ac:dyDescent="0.2">
      <c r="A44" s="49" t="s">
        <v>42</v>
      </c>
      <c r="B44" s="50"/>
      <c r="C44" s="55"/>
      <c r="D44" s="50"/>
      <c r="E44" s="55"/>
      <c r="F44" s="50"/>
      <c r="G44" s="55"/>
      <c r="H44" s="13"/>
      <c r="I44" s="13"/>
      <c r="J44" s="13"/>
    </row>
    <row r="45" spans="1:12" ht="18.75" hidden="1" customHeight="1" outlineLevel="1" x14ac:dyDescent="0.2">
      <c r="A45" s="49" t="s">
        <v>43</v>
      </c>
      <c r="B45" s="50"/>
      <c r="C45" s="55"/>
      <c r="D45" s="50"/>
      <c r="E45" s="55"/>
      <c r="F45" s="50"/>
      <c r="G45" s="55"/>
      <c r="H45" s="13"/>
      <c r="I45" s="13"/>
      <c r="J45" s="13"/>
    </row>
    <row r="46" spans="1:12" ht="18.75" hidden="1" customHeight="1" outlineLevel="1" x14ac:dyDescent="0.2">
      <c r="A46" s="49" t="s">
        <v>44</v>
      </c>
      <c r="B46" s="50"/>
      <c r="C46" s="55"/>
      <c r="D46" s="50"/>
      <c r="E46" s="55"/>
      <c r="F46" s="50"/>
      <c r="G46" s="55"/>
      <c r="H46" s="13"/>
      <c r="I46" s="13"/>
      <c r="J46" s="13"/>
    </row>
    <row r="47" spans="1:12" ht="18.75" hidden="1" customHeight="1" outlineLevel="1" x14ac:dyDescent="0.2">
      <c r="A47" s="56" t="s">
        <v>45</v>
      </c>
      <c r="B47" s="59"/>
      <c r="C47" s="58"/>
      <c r="D47" s="59"/>
      <c r="E47" s="58"/>
      <c r="F47" s="59"/>
      <c r="G47" s="58"/>
      <c r="H47" s="13"/>
      <c r="I47" s="13"/>
      <c r="J47" s="13"/>
    </row>
    <row r="48" spans="1:12" ht="18.75" hidden="1" customHeight="1" outlineLevel="1" thickBot="1" x14ac:dyDescent="0.25">
      <c r="A48" s="76" t="s">
        <v>46</v>
      </c>
      <c r="B48" s="77"/>
      <c r="C48" s="78"/>
      <c r="D48" s="77"/>
      <c r="E48" s="78"/>
      <c r="F48" s="77"/>
      <c r="G48" s="78"/>
      <c r="H48" s="13"/>
      <c r="I48" s="13"/>
      <c r="J48" s="13"/>
    </row>
    <row r="49" spans="1:13" ht="34.5" customHeight="1" outlineLevel="1" thickBot="1" x14ac:dyDescent="0.25">
      <c r="A49" s="81" t="s">
        <v>47</v>
      </c>
      <c r="B49" s="82">
        <f>B48+B42+B29</f>
        <v>40774</v>
      </c>
      <c r="C49" s="70">
        <f t="shared" ref="C49:E49" si="4">C48+C42+C29</f>
        <v>330024.39999999997</v>
      </c>
      <c r="D49" s="82">
        <f>D48+D42+D29</f>
        <v>29394</v>
      </c>
      <c r="E49" s="70">
        <f t="shared" si="4"/>
        <v>252621.33</v>
      </c>
      <c r="F49" s="221">
        <f t="shared" ref="F49" si="5">D49/B49</f>
        <v>0.72090057389512929</v>
      </c>
      <c r="G49" s="222">
        <f t="shared" ref="G49" si="6">E49/C49</f>
        <v>0.7654625839786392</v>
      </c>
      <c r="H49" s="18"/>
      <c r="I49" s="18"/>
      <c r="J49" s="18"/>
      <c r="K49" s="13"/>
      <c r="L49" s="13"/>
      <c r="M49" s="13"/>
    </row>
    <row r="52" spans="1:13" ht="18.75" customHeight="1" x14ac:dyDescent="0.25">
      <c r="D52" s="85"/>
      <c r="E52" s="231"/>
    </row>
    <row r="65" spans="1:7" ht="18.75" customHeight="1" x14ac:dyDescent="0.25">
      <c r="A65" s="2"/>
      <c r="B65" s="84"/>
      <c r="C65" s="84"/>
      <c r="D65"/>
      <c r="E65"/>
      <c r="F65" s="60"/>
      <c r="G65" s="60"/>
    </row>
    <row r="66" spans="1:7" ht="18.75" customHeight="1" x14ac:dyDescent="0.25">
      <c r="A66" s="2"/>
      <c r="B66" s="84"/>
      <c r="C66" s="84"/>
      <c r="D66"/>
      <c r="E66"/>
      <c r="F66" s="60"/>
      <c r="G66" s="60"/>
    </row>
    <row r="68" spans="1:7" ht="18.75" customHeight="1" x14ac:dyDescent="0.25">
      <c r="A68" s="2"/>
      <c r="C68" s="87"/>
      <c r="D68"/>
      <c r="E68"/>
      <c r="F68" s="88"/>
      <c r="G68" s="88"/>
    </row>
  </sheetData>
  <sheetProtection formatCells="0" insertRows="0"/>
  <mergeCells count="14">
    <mergeCell ref="A30:G30"/>
    <mergeCell ref="A43:G43"/>
    <mergeCell ref="B5:B6"/>
    <mergeCell ref="C5:C6"/>
    <mergeCell ref="D5:D6"/>
    <mergeCell ref="E5:E6"/>
    <mergeCell ref="A1:G1"/>
    <mergeCell ref="A2:G2"/>
    <mergeCell ref="A4:A6"/>
    <mergeCell ref="B4:C4"/>
    <mergeCell ref="D4:E4"/>
    <mergeCell ref="F4:G4"/>
    <mergeCell ref="F5:F6"/>
    <mergeCell ref="G5:G6"/>
  </mergeCells>
  <pageMargins left="0.39370078740157483" right="0" top="0" bottom="0" header="0.51181102362204722" footer="0.51181102362204722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68"/>
  <sheetViews>
    <sheetView view="pageBreakPreview" zoomScale="80" zoomScaleNormal="100" zoomScaleSheetLayoutView="80" workbookViewId="0">
      <selection activeCell="G3" sqref="G3"/>
    </sheetView>
  </sheetViews>
  <sheetFormatPr defaultColWidth="9.28515625" defaultRowHeight="18.75" customHeight="1" outlineLevelRow="1" x14ac:dyDescent="0.25"/>
  <cols>
    <col min="1" max="1" width="62" style="61" customWidth="1"/>
    <col min="2" max="2" width="12.7109375" style="89" customWidth="1"/>
    <col min="3" max="3" width="13.140625" style="89" customWidth="1"/>
    <col min="4" max="4" width="12.5703125" style="61" customWidth="1"/>
    <col min="5" max="5" width="14" style="61" customWidth="1"/>
    <col min="6" max="6" width="12.28515625" style="61" customWidth="1"/>
    <col min="7" max="7" width="13.5703125" style="61" customWidth="1"/>
    <col min="8" max="8" width="13.5703125" style="2" customWidth="1"/>
    <col min="9" max="9" width="13.140625" style="2" customWidth="1"/>
    <col min="10" max="11" width="11.7109375" style="2" customWidth="1"/>
    <col min="12" max="12" width="11.7109375" style="2" bestFit="1" customWidth="1"/>
    <col min="13" max="14" width="12.28515625" style="2" customWidth="1"/>
    <col min="15" max="15" width="12.28515625" style="2" bestFit="1" customWidth="1"/>
    <col min="16" max="16" width="9.28515625" style="2"/>
    <col min="17" max="17" width="19.7109375" style="2" customWidth="1"/>
    <col min="18" max="16384" width="9.28515625" style="2"/>
  </cols>
  <sheetData>
    <row r="1" spans="1:12" ht="42" customHeight="1" outlineLevel="1" x14ac:dyDescent="0.2">
      <c r="A1" s="332" t="s">
        <v>66</v>
      </c>
      <c r="B1" s="332"/>
      <c r="C1" s="332"/>
      <c r="D1" s="332"/>
      <c r="E1" s="332"/>
      <c r="F1" s="332"/>
      <c r="G1" s="332"/>
    </row>
    <row r="2" spans="1:12" ht="18.75" customHeight="1" outlineLevel="1" x14ac:dyDescent="0.2">
      <c r="A2" s="333" t="s">
        <v>54</v>
      </c>
      <c r="B2" s="333"/>
      <c r="C2" s="333"/>
      <c r="D2" s="333"/>
      <c r="E2" s="333"/>
      <c r="F2" s="333"/>
      <c r="G2" s="333"/>
    </row>
    <row r="3" spans="1:12" s="6" customFormat="1" ht="18.75" customHeight="1" outlineLevel="1" x14ac:dyDescent="0.2">
      <c r="A3" s="3"/>
      <c r="B3"/>
      <c r="C3"/>
      <c r="D3" s="5"/>
      <c r="E3" s="5"/>
      <c r="F3" s="5"/>
      <c r="G3" s="5" t="s">
        <v>145</v>
      </c>
    </row>
    <row r="4" spans="1:12" s="7" customFormat="1" ht="46.5" customHeight="1" outlineLevel="1" x14ac:dyDescent="0.2">
      <c r="A4" s="334" t="s">
        <v>0</v>
      </c>
      <c r="B4" s="337" t="s">
        <v>55</v>
      </c>
      <c r="C4" s="338"/>
      <c r="D4" s="337" t="s">
        <v>61</v>
      </c>
      <c r="E4" s="338"/>
      <c r="F4" s="337" t="s">
        <v>65</v>
      </c>
      <c r="G4" s="338"/>
    </row>
    <row r="5" spans="1:12" s="7" customFormat="1" ht="53.25" customHeight="1" outlineLevel="1" x14ac:dyDescent="0.2">
      <c r="A5" s="335"/>
      <c r="B5" s="341" t="s">
        <v>6</v>
      </c>
      <c r="C5" s="341" t="s">
        <v>7</v>
      </c>
      <c r="D5" s="341" t="s">
        <v>6</v>
      </c>
      <c r="E5" s="341" t="s">
        <v>7</v>
      </c>
      <c r="F5" s="341" t="s">
        <v>6</v>
      </c>
      <c r="G5" s="341" t="s">
        <v>7</v>
      </c>
    </row>
    <row r="6" spans="1:12" s="8" customFormat="1" ht="38.25" customHeight="1" outlineLevel="1" x14ac:dyDescent="0.2">
      <c r="A6" s="336"/>
      <c r="B6" s="342"/>
      <c r="C6" s="342"/>
      <c r="D6" s="342"/>
      <c r="E6" s="342"/>
      <c r="F6" s="342"/>
      <c r="G6" s="342"/>
    </row>
    <row r="7" spans="1:12" s="7" customFormat="1" ht="18.75" customHeight="1" outlineLevel="1" x14ac:dyDescent="0.2">
      <c r="A7" s="63" t="s">
        <v>11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</row>
    <row r="8" spans="1:12" ht="18.75" customHeight="1" outlineLevel="1" x14ac:dyDescent="0.2">
      <c r="A8" s="9" t="s">
        <v>12</v>
      </c>
      <c r="B8" s="10">
        <v>1668</v>
      </c>
      <c r="C8" s="12">
        <v>125718.05999999998</v>
      </c>
      <c r="D8" s="10">
        <v>496</v>
      </c>
      <c r="E8" s="12">
        <f>40196.35+4570.51</f>
        <v>44766.86</v>
      </c>
      <c r="F8" s="228">
        <f>D8/B8</f>
        <v>0.29736211031175058</v>
      </c>
      <c r="G8" s="207">
        <f>E8/C8</f>
        <v>0.35608933195437481</v>
      </c>
      <c r="H8" s="13"/>
      <c r="I8" s="13"/>
      <c r="L8" s="13"/>
    </row>
    <row r="9" spans="1:12" ht="18.75" customHeight="1" outlineLevel="1" x14ac:dyDescent="0.2">
      <c r="A9" s="9" t="s">
        <v>13</v>
      </c>
      <c r="B9" s="10">
        <v>984</v>
      </c>
      <c r="C9" s="12">
        <v>220503</v>
      </c>
      <c r="D9" s="10">
        <v>738</v>
      </c>
      <c r="E9" s="12">
        <v>290099.02</v>
      </c>
      <c r="F9" s="228">
        <f t="shared" ref="F9" si="0">D9/B9</f>
        <v>0.75</v>
      </c>
      <c r="G9" s="207">
        <f t="shared" ref="G9" si="1">E9/C9</f>
        <v>1.3156239144138628</v>
      </c>
      <c r="H9" s="13"/>
      <c r="I9" s="13"/>
      <c r="L9" s="13"/>
    </row>
    <row r="10" spans="1:12" ht="32.25" hidden="1" customHeight="1" outlineLevel="1" x14ac:dyDescent="0.2">
      <c r="A10" s="9" t="s">
        <v>14</v>
      </c>
      <c r="B10" s="10"/>
      <c r="C10" s="12"/>
      <c r="D10" s="10"/>
      <c r="E10" s="12"/>
      <c r="F10" s="228"/>
      <c r="G10" s="207"/>
      <c r="H10" s="13"/>
      <c r="I10" s="13"/>
      <c r="J10" s="13"/>
      <c r="K10" s="13"/>
      <c r="L10" s="13"/>
    </row>
    <row r="11" spans="1:12" ht="18" hidden="1" customHeight="1" outlineLevel="1" x14ac:dyDescent="0.2">
      <c r="A11" s="224" t="s">
        <v>49</v>
      </c>
      <c r="B11" s="10"/>
      <c r="C11" s="12"/>
      <c r="D11" s="10"/>
      <c r="E11" s="12"/>
      <c r="F11" s="228"/>
      <c r="G11" s="207"/>
      <c r="H11" s="13"/>
      <c r="I11" s="13"/>
      <c r="J11" s="13"/>
      <c r="K11" s="13"/>
      <c r="L11" s="13"/>
    </row>
    <row r="12" spans="1:12" ht="18.75" hidden="1" customHeight="1" outlineLevel="1" thickBot="1" x14ac:dyDescent="0.25">
      <c r="A12" s="223" t="s">
        <v>15</v>
      </c>
      <c r="B12" s="94"/>
      <c r="C12" s="95"/>
      <c r="D12" s="94"/>
      <c r="E12" s="95"/>
      <c r="F12" s="222"/>
      <c r="G12" s="225"/>
      <c r="I12" s="13"/>
      <c r="J12" s="18"/>
      <c r="K12" s="18"/>
      <c r="L12" s="18"/>
    </row>
    <row r="13" spans="1:12" ht="18.75" customHeight="1" outlineLevel="1" x14ac:dyDescent="0.2">
      <c r="A13" s="19" t="s">
        <v>16</v>
      </c>
      <c r="B13" s="20">
        <v>389</v>
      </c>
      <c r="C13" s="22">
        <v>15252.73</v>
      </c>
      <c r="D13" s="20">
        <v>121</v>
      </c>
      <c r="E13" s="22">
        <v>11814.2</v>
      </c>
      <c r="F13" s="228">
        <f t="shared" ref="F13:F16" si="2">D13/B13</f>
        <v>0.3110539845758355</v>
      </c>
      <c r="G13" s="207">
        <f t="shared" ref="G13:G16" si="3">E13/C13</f>
        <v>0.77456297987311129</v>
      </c>
      <c r="H13" s="13"/>
      <c r="I13" s="13"/>
      <c r="J13" s="13"/>
      <c r="K13" s="13"/>
      <c r="L13" s="13"/>
    </row>
    <row r="14" spans="1:12" ht="18.75" customHeight="1" outlineLevel="1" x14ac:dyDescent="0.2">
      <c r="A14" s="19" t="s">
        <v>17</v>
      </c>
      <c r="B14" s="20">
        <v>736</v>
      </c>
      <c r="C14" s="22">
        <v>28290.12</v>
      </c>
      <c r="D14" s="20">
        <v>416</v>
      </c>
      <c r="E14" s="12">
        <v>12749.57</v>
      </c>
      <c r="F14" s="228">
        <f t="shared" si="2"/>
        <v>0.56521739130434778</v>
      </c>
      <c r="G14" s="207">
        <f t="shared" si="3"/>
        <v>0.45067217813144661</v>
      </c>
      <c r="H14" s="13"/>
      <c r="I14" s="13"/>
      <c r="J14" s="13"/>
      <c r="K14" s="13"/>
      <c r="L14" s="13"/>
    </row>
    <row r="15" spans="1:12" ht="18.75" customHeight="1" outlineLevel="1" x14ac:dyDescent="0.2">
      <c r="A15" s="24" t="s">
        <v>18</v>
      </c>
      <c r="B15" s="23">
        <v>97</v>
      </c>
      <c r="C15" s="12">
        <v>3833.7700000000004</v>
      </c>
      <c r="D15" s="23">
        <v>45</v>
      </c>
      <c r="E15" s="12">
        <v>3127.29</v>
      </c>
      <c r="F15" s="228">
        <f t="shared" si="2"/>
        <v>0.46391752577319589</v>
      </c>
      <c r="G15" s="207">
        <f t="shared" si="3"/>
        <v>0.81572186124884893</v>
      </c>
      <c r="H15" s="13"/>
      <c r="I15" s="13"/>
      <c r="J15" s="13"/>
      <c r="K15" s="13"/>
      <c r="L15" s="13"/>
    </row>
    <row r="16" spans="1:12" ht="18.75" customHeight="1" outlineLevel="1" x14ac:dyDescent="0.2">
      <c r="A16" s="24" t="s">
        <v>19</v>
      </c>
      <c r="B16" s="23">
        <v>2624</v>
      </c>
      <c r="C16" s="12">
        <v>103293.07</v>
      </c>
      <c r="D16" s="23">
        <v>1660</v>
      </c>
      <c r="E16" s="12">
        <v>81170.13</v>
      </c>
      <c r="F16" s="228">
        <f t="shared" si="2"/>
        <v>0.63262195121951215</v>
      </c>
      <c r="G16" s="207">
        <f t="shared" si="3"/>
        <v>0.78582357945213555</v>
      </c>
      <c r="H16" s="13"/>
      <c r="I16" s="13"/>
      <c r="J16" s="13"/>
      <c r="K16" s="13"/>
      <c r="L16" s="13"/>
    </row>
    <row r="17" spans="1:15" ht="18.75" hidden="1" customHeight="1" outlineLevel="1" x14ac:dyDescent="0.2">
      <c r="A17" s="24" t="s">
        <v>20</v>
      </c>
      <c r="B17" s="23"/>
      <c r="C17" s="12"/>
      <c r="D17" s="23"/>
      <c r="E17" s="12"/>
      <c r="F17" s="207"/>
      <c r="G17" s="207"/>
      <c r="H17" s="13"/>
      <c r="I17" s="13"/>
      <c r="J17" s="13"/>
      <c r="K17" s="13"/>
      <c r="L17" s="34"/>
    </row>
    <row r="18" spans="1:15" ht="18.75" hidden="1" customHeight="1" outlineLevel="1" x14ac:dyDescent="0.2">
      <c r="A18" s="24" t="s">
        <v>21</v>
      </c>
      <c r="B18" s="23"/>
      <c r="C18" s="12"/>
      <c r="D18" s="23"/>
      <c r="E18" s="12"/>
      <c r="F18" s="216"/>
      <c r="G18" s="216"/>
      <c r="H18" s="13"/>
      <c r="I18" s="13"/>
      <c r="J18" s="13"/>
      <c r="K18" s="13"/>
      <c r="L18" s="34"/>
    </row>
    <row r="19" spans="1:15" ht="18.75" hidden="1" customHeight="1" outlineLevel="1" thickBot="1" x14ac:dyDescent="0.25">
      <c r="A19" s="223" t="s">
        <v>22</v>
      </c>
      <c r="B19" s="94"/>
      <c r="C19" s="95"/>
      <c r="D19" s="94"/>
      <c r="E19" s="95"/>
      <c r="F19" s="222"/>
      <c r="G19" s="225"/>
      <c r="H19" s="13"/>
      <c r="I19" s="13"/>
      <c r="J19" s="18"/>
      <c r="K19" s="29"/>
      <c r="L19" s="34"/>
    </row>
    <row r="20" spans="1:15" ht="18.75" customHeight="1" outlineLevel="1" x14ac:dyDescent="0.2">
      <c r="A20" s="30" t="s">
        <v>23</v>
      </c>
      <c r="B20" s="31">
        <v>538</v>
      </c>
      <c r="C20" s="32">
        <v>19533</v>
      </c>
      <c r="D20" s="31">
        <v>377</v>
      </c>
      <c r="E20" s="32">
        <v>14456.86</v>
      </c>
      <c r="F20" s="228">
        <f t="shared" ref="F20:F27" si="4">D20/B20</f>
        <v>0.7007434944237918</v>
      </c>
      <c r="G20" s="207">
        <f t="shared" ref="G20:G27" si="5">E20/C20</f>
        <v>0.74012491680745407</v>
      </c>
      <c r="H20" s="13"/>
      <c r="I20" s="13"/>
      <c r="J20" s="13"/>
      <c r="K20" s="13"/>
      <c r="L20" s="13"/>
      <c r="O20" s="13"/>
    </row>
    <row r="21" spans="1:15" ht="18.75" customHeight="1" outlineLevel="1" x14ac:dyDescent="0.2">
      <c r="A21" s="9" t="s">
        <v>24</v>
      </c>
      <c r="B21" s="10">
        <v>189</v>
      </c>
      <c r="C21" s="11">
        <v>7678.42</v>
      </c>
      <c r="D21" s="10">
        <v>29</v>
      </c>
      <c r="E21" s="11">
        <v>5793.91</v>
      </c>
      <c r="F21" s="228">
        <f t="shared" si="4"/>
        <v>0.15343915343915343</v>
      </c>
      <c r="G21" s="207">
        <f t="shared" si="5"/>
        <v>0.75457060176442547</v>
      </c>
      <c r="H21" s="13"/>
      <c r="I21" s="13"/>
      <c r="J21" s="13"/>
      <c r="K21" s="13"/>
      <c r="L21" s="13"/>
      <c r="O21" s="13"/>
    </row>
    <row r="22" spans="1:15" ht="18.75" hidden="1" customHeight="1" outlineLevel="1" x14ac:dyDescent="0.2">
      <c r="A22" s="9" t="s">
        <v>25</v>
      </c>
      <c r="B22" s="10">
        <v>0</v>
      </c>
      <c r="C22" s="11">
        <v>0</v>
      </c>
      <c r="D22" s="10"/>
      <c r="E22" s="11"/>
      <c r="F22" s="228"/>
      <c r="G22" s="207"/>
      <c r="H22" s="13"/>
      <c r="I22" s="13"/>
      <c r="J22" s="13"/>
      <c r="K22" s="13"/>
      <c r="L22" s="72"/>
      <c r="O22" s="13"/>
    </row>
    <row r="23" spans="1:15" ht="18.75" customHeight="1" outlineLevel="1" x14ac:dyDescent="0.2">
      <c r="A23" s="9" t="s">
        <v>26</v>
      </c>
      <c r="B23" s="10">
        <v>243</v>
      </c>
      <c r="C23" s="11">
        <v>10753.08</v>
      </c>
      <c r="D23" s="10">
        <v>123</v>
      </c>
      <c r="E23" s="11">
        <v>8153.47</v>
      </c>
      <c r="F23" s="228">
        <f t="shared" si="4"/>
        <v>0.50617283950617287</v>
      </c>
      <c r="G23" s="207">
        <f t="shared" si="5"/>
        <v>0.7582450795493012</v>
      </c>
      <c r="H23" s="13"/>
      <c r="I23" s="13"/>
      <c r="J23" s="13"/>
      <c r="K23" s="13"/>
      <c r="L23" s="13"/>
      <c r="O23" s="13"/>
    </row>
    <row r="24" spans="1:15" ht="18.75" customHeight="1" outlineLevel="1" x14ac:dyDescent="0.2">
      <c r="A24" s="9" t="s">
        <v>27</v>
      </c>
      <c r="B24" s="10">
        <v>215</v>
      </c>
      <c r="C24" s="11">
        <v>8526.02</v>
      </c>
      <c r="D24" s="10">
        <v>113</v>
      </c>
      <c r="E24" s="11">
        <v>6316.46</v>
      </c>
      <c r="F24" s="228">
        <f t="shared" si="4"/>
        <v>0.52558139534883719</v>
      </c>
      <c r="G24" s="207">
        <f t="shared" si="5"/>
        <v>0.74084508363808665</v>
      </c>
      <c r="H24" s="13"/>
      <c r="I24" s="13"/>
      <c r="J24" s="13"/>
      <c r="K24" s="13"/>
      <c r="L24" s="13"/>
      <c r="O24" s="13"/>
    </row>
    <row r="25" spans="1:15" ht="18.75" customHeight="1" outlineLevel="1" x14ac:dyDescent="0.2">
      <c r="A25" s="9" t="s">
        <v>28</v>
      </c>
      <c r="B25" s="10">
        <v>163</v>
      </c>
      <c r="C25" s="11">
        <v>7320.05</v>
      </c>
      <c r="D25" s="10">
        <v>35</v>
      </c>
      <c r="E25" s="11">
        <v>5415.56</v>
      </c>
      <c r="F25" s="228">
        <f t="shared" si="4"/>
        <v>0.21472392638036811</v>
      </c>
      <c r="G25" s="207">
        <f t="shared" si="5"/>
        <v>0.73982554763970199</v>
      </c>
      <c r="H25" s="13"/>
      <c r="I25" s="13"/>
      <c r="J25" s="13"/>
      <c r="K25" s="13"/>
      <c r="L25" s="13"/>
      <c r="O25" s="13"/>
    </row>
    <row r="26" spans="1:15" ht="18.75" customHeight="1" outlineLevel="1" x14ac:dyDescent="0.2">
      <c r="A26" s="14" t="s">
        <v>50</v>
      </c>
      <c r="B26" s="10">
        <v>340</v>
      </c>
      <c r="C26" s="16">
        <v>10818.94</v>
      </c>
      <c r="D26" s="10">
        <v>146</v>
      </c>
      <c r="E26" s="16">
        <v>8252.61</v>
      </c>
      <c r="F26" s="228">
        <f t="shared" si="4"/>
        <v>0.42941176470588233</v>
      </c>
      <c r="G26" s="207">
        <f t="shared" si="5"/>
        <v>0.76279284292176497</v>
      </c>
      <c r="H26" s="13"/>
      <c r="I26" s="13"/>
      <c r="J26" s="13"/>
      <c r="K26" s="13"/>
      <c r="L26" s="13"/>
      <c r="O26" s="13"/>
    </row>
    <row r="27" spans="1:15" ht="18.75" customHeight="1" outlineLevel="1" thickBot="1" x14ac:dyDescent="0.25">
      <c r="A27" s="9" t="s">
        <v>29</v>
      </c>
      <c r="B27" s="10">
        <v>672</v>
      </c>
      <c r="C27" s="11">
        <v>26869.73</v>
      </c>
      <c r="D27" s="10">
        <v>208</v>
      </c>
      <c r="E27" s="11">
        <v>20152.29</v>
      </c>
      <c r="F27" s="228">
        <f t="shared" si="4"/>
        <v>0.30952380952380953</v>
      </c>
      <c r="G27" s="207">
        <f t="shared" si="5"/>
        <v>0.74999972087549827</v>
      </c>
      <c r="H27" s="13"/>
      <c r="I27" s="13"/>
      <c r="J27" s="34"/>
      <c r="K27" s="34"/>
      <c r="L27" s="13"/>
      <c r="O27" s="13"/>
    </row>
    <row r="28" spans="1:15" ht="18.75" hidden="1" customHeight="1" outlineLevel="1" thickBot="1" x14ac:dyDescent="0.25">
      <c r="A28" s="67" t="s">
        <v>30</v>
      </c>
      <c r="B28" s="73"/>
      <c r="C28" s="70"/>
      <c r="D28" s="73"/>
      <c r="E28" s="70"/>
      <c r="F28" s="226"/>
      <c r="G28" s="225"/>
      <c r="H28" s="13"/>
      <c r="I28" s="29"/>
      <c r="J28" s="29"/>
      <c r="K28" s="29"/>
      <c r="L28" s="13"/>
      <c r="M28" s="18"/>
      <c r="N28" s="18"/>
    </row>
    <row r="29" spans="1:15" ht="18.75" customHeight="1" outlineLevel="1" thickBot="1" x14ac:dyDescent="0.25">
      <c r="A29" s="90" t="s">
        <v>62</v>
      </c>
      <c r="B29" s="73">
        <f>SUM(B8:B27)</f>
        <v>8858</v>
      </c>
      <c r="C29" s="70">
        <f t="shared" ref="C29:E29" si="6">SUM(C8:C27)</f>
        <v>588389.99</v>
      </c>
      <c r="D29" s="73">
        <f t="shared" si="6"/>
        <v>4507</v>
      </c>
      <c r="E29" s="70">
        <f t="shared" si="6"/>
        <v>512268.22999999992</v>
      </c>
      <c r="F29" s="230">
        <f t="shared" ref="F29" si="7">D29/B29</f>
        <v>0.50880559945811699</v>
      </c>
      <c r="G29" s="225">
        <f t="shared" ref="G29" si="8">E29/C29</f>
        <v>0.87062703089153493</v>
      </c>
      <c r="H29" s="13"/>
      <c r="I29" s="75"/>
      <c r="J29" s="29"/>
      <c r="K29" s="18"/>
      <c r="L29" s="13"/>
    </row>
    <row r="30" spans="1:15" ht="18.75" hidden="1" customHeight="1" outlineLevel="1" thickBot="1" x14ac:dyDescent="0.25">
      <c r="A30" s="343" t="s">
        <v>51</v>
      </c>
      <c r="B30" s="344"/>
      <c r="C30" s="344"/>
      <c r="D30" s="344"/>
      <c r="E30" s="344"/>
      <c r="F30" s="344"/>
      <c r="G30" s="347"/>
      <c r="H30" s="13"/>
    </row>
    <row r="31" spans="1:15" ht="18.75" hidden="1" customHeight="1" outlineLevel="1" x14ac:dyDescent="0.2">
      <c r="A31" s="36" t="s">
        <v>31</v>
      </c>
      <c r="B31" s="37"/>
      <c r="C31" s="12"/>
      <c r="D31" s="37"/>
      <c r="E31" s="12"/>
      <c r="F31" s="12"/>
      <c r="G31" s="12"/>
      <c r="H31" s="13"/>
      <c r="I31" s="13"/>
      <c r="J31" s="13"/>
      <c r="K31" s="13"/>
      <c r="L31" s="13"/>
    </row>
    <row r="32" spans="1:15" ht="18.75" hidden="1" customHeight="1" outlineLevel="1" x14ac:dyDescent="0.2">
      <c r="A32" s="36" t="s">
        <v>32</v>
      </c>
      <c r="B32" s="37"/>
      <c r="C32" s="12"/>
      <c r="D32" s="37"/>
      <c r="E32" s="12"/>
      <c r="F32" s="12"/>
      <c r="G32" s="12"/>
      <c r="H32" s="13"/>
      <c r="I32" s="13"/>
      <c r="J32" s="13"/>
      <c r="K32" s="13"/>
      <c r="L32" s="13"/>
    </row>
    <row r="33" spans="1:14" ht="18.75" hidden="1" customHeight="1" outlineLevel="1" x14ac:dyDescent="0.2">
      <c r="A33" s="36" t="s">
        <v>33</v>
      </c>
      <c r="B33" s="40"/>
      <c r="C33" s="41"/>
      <c r="D33" s="40"/>
      <c r="E33" s="41"/>
      <c r="F33" s="22"/>
      <c r="G33" s="35"/>
      <c r="H33" s="13"/>
      <c r="I33" s="13"/>
      <c r="J33" s="13"/>
      <c r="K33" s="13"/>
      <c r="L33" s="13"/>
    </row>
    <row r="34" spans="1:14" ht="18.75" hidden="1" customHeight="1" outlineLevel="1" x14ac:dyDescent="0.2">
      <c r="A34" s="42" t="s">
        <v>34</v>
      </c>
      <c r="B34" s="44"/>
      <c r="C34" s="22"/>
      <c r="D34" s="44"/>
      <c r="E34" s="22"/>
      <c r="F34" s="22"/>
      <c r="G34" s="33"/>
      <c r="H34" s="13"/>
      <c r="I34" s="13"/>
      <c r="J34" s="13"/>
      <c r="K34" s="13"/>
      <c r="L34" s="13"/>
    </row>
    <row r="35" spans="1:14" ht="18.75" hidden="1" customHeight="1" outlineLevel="1" x14ac:dyDescent="0.2">
      <c r="A35" s="36" t="s">
        <v>35</v>
      </c>
      <c r="B35" s="37"/>
      <c r="C35" s="12"/>
      <c r="D35" s="37"/>
      <c r="E35" s="12"/>
      <c r="F35" s="12"/>
      <c r="G35" s="12"/>
      <c r="H35" s="13"/>
      <c r="I35" s="13"/>
      <c r="J35" s="13"/>
      <c r="K35" s="13"/>
      <c r="L35" s="13"/>
    </row>
    <row r="36" spans="1:14" ht="26.25" hidden="1" customHeight="1" outlineLevel="1" x14ac:dyDescent="0.2">
      <c r="A36" s="45" t="s">
        <v>52</v>
      </c>
      <c r="B36" s="47"/>
      <c r="C36" s="48"/>
      <c r="D36" s="47"/>
      <c r="E36" s="48"/>
      <c r="F36" s="12"/>
      <c r="G36" s="12"/>
      <c r="H36" s="13"/>
      <c r="I36" s="13"/>
      <c r="J36" s="13"/>
      <c r="K36" s="13"/>
      <c r="L36" s="13"/>
    </row>
    <row r="37" spans="1:14" ht="18.75" hidden="1" customHeight="1" outlineLevel="1" x14ac:dyDescent="0.2">
      <c r="A37" s="36" t="s">
        <v>36</v>
      </c>
      <c r="B37" s="37"/>
      <c r="C37" s="12"/>
      <c r="D37" s="37"/>
      <c r="E37" s="12"/>
      <c r="F37" s="12"/>
      <c r="G37" s="12"/>
      <c r="H37" s="13"/>
      <c r="I37" s="13"/>
      <c r="J37" s="13"/>
      <c r="K37" s="13"/>
      <c r="L37" s="13"/>
    </row>
    <row r="38" spans="1:14" ht="18.75" hidden="1" customHeight="1" outlineLevel="1" x14ac:dyDescent="0.2">
      <c r="A38" s="36" t="s">
        <v>53</v>
      </c>
      <c r="B38" s="37"/>
      <c r="C38" s="12"/>
      <c r="D38" s="37"/>
      <c r="E38" s="12"/>
      <c r="F38" s="12"/>
      <c r="G38" s="12"/>
      <c r="H38" s="13"/>
      <c r="I38" s="13"/>
      <c r="J38" s="13"/>
      <c r="K38" s="13"/>
      <c r="L38" s="13"/>
    </row>
    <row r="39" spans="1:14" ht="18.75" hidden="1" customHeight="1" outlineLevel="1" x14ac:dyDescent="0.2">
      <c r="A39" s="36" t="s">
        <v>37</v>
      </c>
      <c r="B39" s="37"/>
      <c r="C39" s="12"/>
      <c r="D39" s="37"/>
      <c r="E39" s="12"/>
      <c r="F39" s="12"/>
      <c r="G39" s="12"/>
      <c r="H39" s="13"/>
      <c r="I39" s="13"/>
      <c r="J39" s="13"/>
      <c r="K39" s="13"/>
      <c r="L39" s="13"/>
    </row>
    <row r="40" spans="1:14" ht="18.75" hidden="1" customHeight="1" outlineLevel="1" x14ac:dyDescent="0.2">
      <c r="A40" s="36" t="s">
        <v>38</v>
      </c>
      <c r="B40" s="37"/>
      <c r="C40" s="12"/>
      <c r="D40" s="37"/>
      <c r="E40" s="12"/>
      <c r="F40" s="12"/>
      <c r="G40" s="12"/>
      <c r="H40" s="13"/>
      <c r="I40" s="13"/>
      <c r="J40" s="13"/>
      <c r="K40" s="13"/>
      <c r="L40" s="13"/>
    </row>
    <row r="41" spans="1:14" ht="18.75" hidden="1" customHeight="1" outlineLevel="1" x14ac:dyDescent="0.2">
      <c r="A41" s="49" t="s">
        <v>39</v>
      </c>
      <c r="B41" s="50"/>
      <c r="C41" s="51"/>
      <c r="D41" s="50"/>
      <c r="E41" s="51"/>
      <c r="F41" s="52"/>
      <c r="G41" s="53"/>
      <c r="H41" s="13"/>
      <c r="I41" s="13"/>
      <c r="J41" s="13"/>
      <c r="K41" s="13"/>
      <c r="L41" s="13"/>
    </row>
    <row r="42" spans="1:14" ht="33" hidden="1" customHeight="1" outlineLevel="1" thickBot="1" x14ac:dyDescent="0.25">
      <c r="A42" s="76" t="s">
        <v>40</v>
      </c>
      <c r="B42" s="77">
        <f t="shared" ref="B42:G42" si="9">SUM(B31:B41)</f>
        <v>0</v>
      </c>
      <c r="C42" s="78">
        <f t="shared" si="9"/>
        <v>0</v>
      </c>
      <c r="D42" s="77">
        <f t="shared" si="9"/>
        <v>0</v>
      </c>
      <c r="E42" s="78">
        <f t="shared" si="9"/>
        <v>0</v>
      </c>
      <c r="F42" s="79">
        <f t="shared" si="9"/>
        <v>0</v>
      </c>
      <c r="G42" s="80">
        <f t="shared" si="9"/>
        <v>0</v>
      </c>
      <c r="H42" s="13"/>
      <c r="I42" s="13"/>
      <c r="J42" s="13"/>
      <c r="K42" s="13"/>
      <c r="L42" s="13"/>
    </row>
    <row r="43" spans="1:14" ht="30.75" customHeight="1" outlineLevel="1" thickBot="1" x14ac:dyDescent="0.25">
      <c r="A43" s="345" t="s">
        <v>41</v>
      </c>
      <c r="B43" s="346"/>
      <c r="C43" s="346"/>
      <c r="D43" s="346"/>
      <c r="E43" s="346"/>
      <c r="F43" s="346"/>
      <c r="G43" s="348"/>
      <c r="H43" s="13"/>
      <c r="I43" s="13"/>
      <c r="J43" s="13"/>
      <c r="K43" s="13"/>
      <c r="L43" s="13"/>
      <c r="M43" s="13"/>
      <c r="N43" s="13"/>
    </row>
    <row r="44" spans="1:14" ht="18.75" customHeight="1" outlineLevel="1" x14ac:dyDescent="0.2">
      <c r="A44" s="49" t="s">
        <v>42</v>
      </c>
      <c r="B44" s="50">
        <v>4</v>
      </c>
      <c r="C44" s="55">
        <v>474.9</v>
      </c>
      <c r="D44" s="50"/>
      <c r="E44" s="55"/>
      <c r="F44" s="228">
        <f t="shared" ref="F44:F47" si="10">D44/B44</f>
        <v>0</v>
      </c>
      <c r="G44" s="207">
        <f t="shared" ref="G44:G47" si="11">E44/C44</f>
        <v>0</v>
      </c>
      <c r="H44" s="13"/>
      <c r="I44" s="13"/>
      <c r="J44" s="13"/>
      <c r="K44" s="13"/>
      <c r="L44" s="13"/>
    </row>
    <row r="45" spans="1:14" ht="18.75" customHeight="1" outlineLevel="1" x14ac:dyDescent="0.2">
      <c r="A45" s="49" t="s">
        <v>43</v>
      </c>
      <c r="B45" s="50">
        <v>4</v>
      </c>
      <c r="C45" s="55">
        <v>474.9</v>
      </c>
      <c r="D45" s="50">
        <v>1</v>
      </c>
      <c r="E45" s="55">
        <v>118.71</v>
      </c>
      <c r="F45" s="228">
        <f t="shared" si="10"/>
        <v>0.25</v>
      </c>
      <c r="G45" s="207">
        <f t="shared" si="11"/>
        <v>0.24996841440303222</v>
      </c>
      <c r="H45" s="13"/>
      <c r="I45" s="13"/>
      <c r="J45" s="13"/>
      <c r="K45" s="13"/>
      <c r="L45" s="13"/>
    </row>
    <row r="46" spans="1:14" ht="18.75" customHeight="1" outlineLevel="1" x14ac:dyDescent="0.2">
      <c r="A46" s="49" t="s">
        <v>44</v>
      </c>
      <c r="B46" s="50">
        <v>4</v>
      </c>
      <c r="C46" s="55">
        <v>527.6</v>
      </c>
      <c r="D46" s="50"/>
      <c r="E46" s="55"/>
      <c r="F46" s="228">
        <f t="shared" si="10"/>
        <v>0</v>
      </c>
      <c r="G46" s="207">
        <f t="shared" si="11"/>
        <v>0</v>
      </c>
      <c r="H46" s="13"/>
      <c r="I46" s="13"/>
      <c r="J46" s="13"/>
      <c r="K46" s="13"/>
      <c r="L46" s="13"/>
    </row>
    <row r="47" spans="1:14" ht="18.75" customHeight="1" outlineLevel="1" x14ac:dyDescent="0.2">
      <c r="A47" s="56" t="s">
        <v>45</v>
      </c>
      <c r="B47" s="59">
        <v>24</v>
      </c>
      <c r="C47" s="58">
        <v>1232.4100000000001</v>
      </c>
      <c r="D47" s="59"/>
      <c r="E47" s="58"/>
      <c r="F47" s="228">
        <f t="shared" si="10"/>
        <v>0</v>
      </c>
      <c r="G47" s="207">
        <f t="shared" si="11"/>
        <v>0</v>
      </c>
      <c r="H47" s="13"/>
      <c r="I47" s="13"/>
      <c r="J47" s="13"/>
      <c r="K47" s="13"/>
      <c r="L47" s="13"/>
    </row>
    <row r="48" spans="1:14" ht="18.75" customHeight="1" outlineLevel="1" thickBot="1" x14ac:dyDescent="0.25">
      <c r="A48" s="76" t="s">
        <v>46</v>
      </c>
      <c r="B48" s="77">
        <f>SUM(B44:B47)</f>
        <v>36</v>
      </c>
      <c r="C48" s="78">
        <f t="shared" ref="C48:E48" si="12">SUM(C44:C47)</f>
        <v>2709.8100000000004</v>
      </c>
      <c r="D48" s="77">
        <f t="shared" si="12"/>
        <v>1</v>
      </c>
      <c r="E48" s="78">
        <f t="shared" si="12"/>
        <v>118.71</v>
      </c>
      <c r="F48" s="229">
        <f t="shared" ref="F48:F49" si="13">D48/B48</f>
        <v>2.7777777777777776E-2</v>
      </c>
      <c r="G48" s="227">
        <f t="shared" ref="G48:G49" si="14">E48/C48</f>
        <v>4.3807499418778428E-2</v>
      </c>
      <c r="H48" s="13"/>
      <c r="I48" s="13"/>
      <c r="J48" s="13"/>
      <c r="K48" s="13"/>
      <c r="L48" s="13"/>
    </row>
    <row r="49" spans="1:15" ht="34.5" customHeight="1" outlineLevel="1" thickBot="1" x14ac:dyDescent="0.25">
      <c r="A49" s="81" t="s">
        <v>47</v>
      </c>
      <c r="B49" s="82">
        <f>B48+B42+B29</f>
        <v>8894</v>
      </c>
      <c r="C49" s="70">
        <f t="shared" ref="C49:E49" si="15">C48+C42+C29</f>
        <v>591099.80000000005</v>
      </c>
      <c r="D49" s="82">
        <f t="shared" si="15"/>
        <v>4508</v>
      </c>
      <c r="E49" s="70">
        <f t="shared" si="15"/>
        <v>512386.93999999994</v>
      </c>
      <c r="F49" s="230">
        <f t="shared" si="13"/>
        <v>0.50685855633011023</v>
      </c>
      <c r="G49" s="225">
        <f t="shared" si="14"/>
        <v>0.86683659848979799</v>
      </c>
      <c r="H49" s="18"/>
      <c r="I49" s="18"/>
      <c r="J49" s="18"/>
      <c r="K49" s="18"/>
      <c r="L49" s="18"/>
      <c r="M49" s="13"/>
      <c r="N49" s="13"/>
      <c r="O49" s="13"/>
    </row>
    <row r="65" spans="1:7" ht="18.75" customHeight="1" x14ac:dyDescent="0.25">
      <c r="A65" s="2"/>
      <c r="B65"/>
      <c r="C65"/>
      <c r="D65" s="60"/>
      <c r="E65" s="60"/>
      <c r="F65" s="60"/>
      <c r="G65" s="60"/>
    </row>
    <row r="66" spans="1:7" ht="18.75" customHeight="1" x14ac:dyDescent="0.25">
      <c r="A66" s="2"/>
      <c r="B66"/>
      <c r="C66"/>
      <c r="D66" s="60"/>
      <c r="E66" s="60"/>
      <c r="F66" s="60"/>
      <c r="G66" s="60"/>
    </row>
    <row r="68" spans="1:7" ht="18.75" customHeight="1" x14ac:dyDescent="0.25">
      <c r="A68" s="2"/>
      <c r="B68"/>
      <c r="C68"/>
      <c r="D68" s="88"/>
      <c r="E68" s="88"/>
    </row>
  </sheetData>
  <sheetProtection formatCells="0" insertRows="0"/>
  <mergeCells count="14">
    <mergeCell ref="A30:G30"/>
    <mergeCell ref="A43:G43"/>
    <mergeCell ref="B5:B6"/>
    <mergeCell ref="C5:C6"/>
    <mergeCell ref="A1:G1"/>
    <mergeCell ref="A2:G2"/>
    <mergeCell ref="A4:A6"/>
    <mergeCell ref="B4:C4"/>
    <mergeCell ref="D4:E4"/>
    <mergeCell ref="F4:G4"/>
    <mergeCell ref="F5:F6"/>
    <mergeCell ref="G5:G6"/>
    <mergeCell ref="D5:D6"/>
    <mergeCell ref="E5:E6"/>
  </mergeCells>
  <pageMargins left="0.39370078740157483" right="0" top="0" bottom="0" header="0.51181102362204722" footer="0.51181102362204722"/>
  <pageSetup paperSize="9" scale="4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8"/>
  <sheetViews>
    <sheetView view="pageBreakPreview" topLeftCell="A7" zoomScale="80" zoomScaleNormal="100" zoomScaleSheetLayoutView="80" workbookViewId="0">
      <selection activeCell="G3" sqref="G3"/>
    </sheetView>
  </sheetViews>
  <sheetFormatPr defaultColWidth="9.28515625" defaultRowHeight="18.75" customHeight="1" outlineLevelRow="1" x14ac:dyDescent="0.25"/>
  <cols>
    <col min="1" max="1" width="62" style="61" customWidth="1"/>
    <col min="2" max="2" width="14" style="86" customWidth="1"/>
    <col min="3" max="3" width="12.7109375" style="86" customWidth="1"/>
    <col min="4" max="4" width="12.42578125" style="89" customWidth="1"/>
    <col min="5" max="5" width="13.42578125" style="89" customWidth="1"/>
    <col min="6" max="6" width="12.28515625" style="61" customWidth="1"/>
    <col min="7" max="7" width="12.140625" style="61" customWidth="1"/>
    <col min="8" max="9" width="11.7109375" style="2" customWidth="1"/>
    <col min="10" max="10" width="11.7109375" style="2" bestFit="1" customWidth="1"/>
    <col min="11" max="12" width="12.28515625" style="2" customWidth="1"/>
    <col min="13" max="13" width="12.28515625" style="2" bestFit="1" customWidth="1"/>
    <col min="14" max="14" width="9.28515625" style="2"/>
    <col min="15" max="15" width="19.7109375" style="2" customWidth="1"/>
    <col min="16" max="16384" width="9.28515625" style="2"/>
  </cols>
  <sheetData>
    <row r="1" spans="1:10" ht="45.75" customHeight="1" outlineLevel="1" x14ac:dyDescent="0.2">
      <c r="A1" s="332" t="s">
        <v>63</v>
      </c>
      <c r="B1" s="332"/>
      <c r="C1" s="332"/>
      <c r="D1" s="332"/>
      <c r="E1" s="332"/>
      <c r="F1" s="332"/>
      <c r="G1" s="332"/>
    </row>
    <row r="2" spans="1:10" ht="18.75" customHeight="1" outlineLevel="1" x14ac:dyDescent="0.2">
      <c r="A2" s="333" t="s">
        <v>54</v>
      </c>
      <c r="B2" s="333"/>
      <c r="C2" s="333"/>
      <c r="D2" s="333"/>
      <c r="E2" s="333"/>
      <c r="F2" s="333"/>
      <c r="G2" s="333"/>
    </row>
    <row r="3" spans="1:10" s="6" customFormat="1" ht="18.75" customHeight="1" outlineLevel="1" x14ac:dyDescent="0.2">
      <c r="A3" s="3"/>
      <c r="B3" s="4"/>
      <c r="C3" s="4"/>
      <c r="D3"/>
      <c r="E3"/>
      <c r="F3" s="5"/>
      <c r="G3" s="5" t="s">
        <v>146</v>
      </c>
    </row>
    <row r="4" spans="1:10" s="7" customFormat="1" ht="46.5" customHeight="1" outlineLevel="1" x14ac:dyDescent="0.2">
      <c r="A4" s="334" t="s">
        <v>0</v>
      </c>
      <c r="B4" s="337" t="s">
        <v>55</v>
      </c>
      <c r="C4" s="338"/>
      <c r="D4" s="337" t="s">
        <v>61</v>
      </c>
      <c r="E4" s="338"/>
      <c r="F4" s="337" t="s">
        <v>65</v>
      </c>
      <c r="G4" s="338"/>
    </row>
    <row r="5" spans="1:10" s="7" customFormat="1" ht="30" customHeight="1" outlineLevel="1" x14ac:dyDescent="0.2">
      <c r="A5" s="335"/>
      <c r="B5" s="341" t="s">
        <v>6</v>
      </c>
      <c r="C5" s="341" t="s">
        <v>7</v>
      </c>
      <c r="D5" s="341" t="s">
        <v>6</v>
      </c>
      <c r="E5" s="341" t="s">
        <v>7</v>
      </c>
      <c r="F5" s="341" t="s">
        <v>6</v>
      </c>
      <c r="G5" s="341" t="s">
        <v>7</v>
      </c>
    </row>
    <row r="6" spans="1:10" s="8" customFormat="1" ht="21" customHeight="1" outlineLevel="1" x14ac:dyDescent="0.2">
      <c r="A6" s="336"/>
      <c r="B6" s="342"/>
      <c r="C6" s="342"/>
      <c r="D6" s="342"/>
      <c r="E6" s="342"/>
      <c r="F6" s="342"/>
      <c r="G6" s="342"/>
    </row>
    <row r="7" spans="1:10" s="7" customFormat="1" ht="18.75" customHeight="1" outlineLevel="1" x14ac:dyDescent="0.2">
      <c r="A7" s="63" t="s">
        <v>11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</row>
    <row r="8" spans="1:10" ht="18.75" customHeight="1" outlineLevel="1" x14ac:dyDescent="0.2">
      <c r="A8" s="9" t="s">
        <v>12</v>
      </c>
      <c r="B8" s="10">
        <v>11079</v>
      </c>
      <c r="C8" s="12">
        <v>1292059.3700000001</v>
      </c>
      <c r="D8" s="10">
        <v>7262</v>
      </c>
      <c r="E8" s="12">
        <f>1023370.55+30798.68</f>
        <v>1054169.23</v>
      </c>
      <c r="F8" s="206">
        <f>D8/B8</f>
        <v>0.65547432078707468</v>
      </c>
      <c r="G8" s="219">
        <f>E8/C8</f>
        <v>0.81588296519222636</v>
      </c>
      <c r="J8" s="13"/>
    </row>
    <row r="9" spans="1:10" ht="18.75" customHeight="1" outlineLevel="1" x14ac:dyDescent="0.2">
      <c r="A9" s="9" t="s">
        <v>13</v>
      </c>
      <c r="B9" s="10">
        <v>1287</v>
      </c>
      <c r="C9" s="12">
        <v>381501.22</v>
      </c>
      <c r="D9" s="10">
        <v>1007</v>
      </c>
      <c r="E9" s="12">
        <v>260460.63</v>
      </c>
      <c r="F9" s="206">
        <f t="shared" ref="F9:F14" si="0">D9/B9</f>
        <v>0.78243978243978241</v>
      </c>
      <c r="G9" s="219">
        <f t="shared" ref="G9:G14" si="1">E9/C9</f>
        <v>0.6827255493442459</v>
      </c>
      <c r="J9" s="13"/>
    </row>
    <row r="10" spans="1:10" ht="32.25" hidden="1" customHeight="1" outlineLevel="1" x14ac:dyDescent="0.2">
      <c r="A10" s="9" t="s">
        <v>14</v>
      </c>
      <c r="B10" s="10"/>
      <c r="C10" s="12"/>
      <c r="D10" s="10"/>
      <c r="E10" s="12"/>
      <c r="F10" s="206"/>
      <c r="G10" s="219"/>
      <c r="H10" s="13"/>
      <c r="I10" s="13"/>
      <c r="J10" s="13"/>
    </row>
    <row r="11" spans="1:10" ht="21" hidden="1" customHeight="1" outlineLevel="1" x14ac:dyDescent="0.2">
      <c r="A11" s="224" t="s">
        <v>49</v>
      </c>
      <c r="B11" s="10"/>
      <c r="C11" s="12"/>
      <c r="D11" s="10"/>
      <c r="E11" s="12"/>
      <c r="F11" s="206"/>
      <c r="G11" s="219"/>
      <c r="H11" s="13"/>
      <c r="I11" s="13"/>
      <c r="J11" s="13"/>
    </row>
    <row r="12" spans="1:10" ht="18.75" hidden="1" customHeight="1" outlineLevel="1" thickBot="1" x14ac:dyDescent="0.25">
      <c r="A12" s="223" t="s">
        <v>15</v>
      </c>
      <c r="B12" s="94">
        <f t="shared" ref="B12:C12" si="2">SUM(B8:B11)</f>
        <v>12366</v>
      </c>
      <c r="C12" s="95">
        <f t="shared" si="2"/>
        <v>1673560.59</v>
      </c>
      <c r="D12" s="94"/>
      <c r="E12" s="95"/>
      <c r="F12" s="217">
        <f t="shared" si="0"/>
        <v>0</v>
      </c>
      <c r="G12" s="218">
        <f t="shared" si="1"/>
        <v>0</v>
      </c>
      <c r="H12" s="18"/>
      <c r="I12" s="18"/>
      <c r="J12" s="18"/>
    </row>
    <row r="13" spans="1:10" ht="18.75" customHeight="1" outlineLevel="1" x14ac:dyDescent="0.2">
      <c r="A13" s="19" t="s">
        <v>16</v>
      </c>
      <c r="B13" s="20">
        <v>3261</v>
      </c>
      <c r="C13" s="22">
        <v>281600.39999999997</v>
      </c>
      <c r="D13" s="20">
        <v>2103</v>
      </c>
      <c r="E13" s="22">
        <v>311246.36</v>
      </c>
      <c r="F13" s="206">
        <f t="shared" si="0"/>
        <v>0.64489420423183075</v>
      </c>
      <c r="G13" s="219">
        <f t="shared" si="1"/>
        <v>1.1052766970501464</v>
      </c>
      <c r="H13" s="13"/>
      <c r="I13" s="13"/>
      <c r="J13" s="13"/>
    </row>
    <row r="14" spans="1:10" ht="18.75" customHeight="1" outlineLevel="1" x14ac:dyDescent="0.2">
      <c r="A14" s="19" t="s">
        <v>17</v>
      </c>
      <c r="B14" s="20">
        <v>3706</v>
      </c>
      <c r="C14" s="22">
        <v>356065.01</v>
      </c>
      <c r="D14" s="20">
        <v>2768</v>
      </c>
      <c r="E14" s="22">
        <v>264579.26</v>
      </c>
      <c r="F14" s="206">
        <f t="shared" si="0"/>
        <v>0.74689692390717755</v>
      </c>
      <c r="G14" s="219">
        <f t="shared" si="1"/>
        <v>0.7430644757821051</v>
      </c>
      <c r="H14" s="13"/>
      <c r="I14" s="13"/>
      <c r="J14" s="13"/>
    </row>
    <row r="15" spans="1:10" ht="18.75" customHeight="1" outlineLevel="1" x14ac:dyDescent="0.2">
      <c r="A15" s="24" t="s">
        <v>18</v>
      </c>
      <c r="B15" s="23">
        <v>58</v>
      </c>
      <c r="C15" s="12">
        <v>4148.59</v>
      </c>
      <c r="D15" s="23">
        <v>18</v>
      </c>
      <c r="E15" s="12">
        <v>2878.98</v>
      </c>
      <c r="F15" s="206">
        <f t="shared" ref="F15" si="3">D15/B15</f>
        <v>0.31034482758620691</v>
      </c>
      <c r="G15" s="219">
        <f t="shared" ref="G15" si="4">E15/C15</f>
        <v>0.69396590166779559</v>
      </c>
      <c r="H15" s="13"/>
      <c r="I15" s="13"/>
      <c r="J15" s="13"/>
    </row>
    <row r="16" spans="1:10" ht="18.75" hidden="1" customHeight="1" outlineLevel="1" x14ac:dyDescent="0.2">
      <c r="A16" s="24" t="s">
        <v>19</v>
      </c>
      <c r="B16" s="23"/>
      <c r="C16" s="12"/>
      <c r="D16" s="23"/>
      <c r="E16" s="12"/>
      <c r="F16" s="206"/>
      <c r="G16" s="219"/>
      <c r="H16" s="13"/>
      <c r="I16" s="13"/>
      <c r="J16" s="13"/>
    </row>
    <row r="17" spans="1:13" ht="18.75" hidden="1" customHeight="1" outlineLevel="1" x14ac:dyDescent="0.2">
      <c r="A17" s="24" t="s">
        <v>20</v>
      </c>
      <c r="B17" s="23"/>
      <c r="C17" s="12"/>
      <c r="D17" s="23"/>
      <c r="E17" s="12"/>
      <c r="F17" s="206"/>
      <c r="G17" s="219"/>
      <c r="H17" s="13"/>
      <c r="I17" s="13"/>
      <c r="J17" s="34"/>
    </row>
    <row r="18" spans="1:13" ht="18.75" hidden="1" customHeight="1" outlineLevel="1" x14ac:dyDescent="0.2">
      <c r="A18" s="24" t="s">
        <v>21</v>
      </c>
      <c r="B18" s="23"/>
      <c r="C18" s="12"/>
      <c r="D18" s="23"/>
      <c r="E18" s="12"/>
      <c r="F18" s="206"/>
      <c r="G18" s="219"/>
      <c r="H18" s="13"/>
      <c r="I18" s="13"/>
      <c r="J18" s="34"/>
    </row>
    <row r="19" spans="1:13" ht="18.75" hidden="1" customHeight="1" outlineLevel="1" thickBot="1" x14ac:dyDescent="0.25">
      <c r="A19" s="223" t="s">
        <v>22</v>
      </c>
      <c r="B19" s="94">
        <f t="shared" ref="B19:C19" si="5">SUM(B13:B18)</f>
        <v>7025</v>
      </c>
      <c r="C19" s="95">
        <f t="shared" si="5"/>
        <v>641813.99999999988</v>
      </c>
      <c r="D19" s="94"/>
      <c r="E19" s="95"/>
      <c r="F19" s="217">
        <f t="shared" ref="F19:F27" si="6">D19/B19</f>
        <v>0</v>
      </c>
      <c r="G19" s="218">
        <f t="shared" ref="G19:G27" si="7">E19/C19</f>
        <v>0</v>
      </c>
      <c r="H19" s="18"/>
      <c r="I19" s="29"/>
      <c r="J19" s="34"/>
    </row>
    <row r="20" spans="1:13" ht="18.75" customHeight="1" outlineLevel="1" x14ac:dyDescent="0.2">
      <c r="A20" s="30" t="s">
        <v>23</v>
      </c>
      <c r="B20" s="31">
        <v>757</v>
      </c>
      <c r="C20" s="32">
        <v>66450.509999999995</v>
      </c>
      <c r="D20" s="31">
        <v>680</v>
      </c>
      <c r="E20" s="32">
        <v>64981.75</v>
      </c>
      <c r="F20" s="206">
        <f t="shared" si="6"/>
        <v>0.89828269484808454</v>
      </c>
      <c r="G20" s="219">
        <f t="shared" si="7"/>
        <v>0.97789693412435819</v>
      </c>
      <c r="H20" s="13"/>
      <c r="I20" s="13"/>
      <c r="J20" s="13"/>
      <c r="M20" s="13"/>
    </row>
    <row r="21" spans="1:13" ht="18.75" customHeight="1" outlineLevel="1" x14ac:dyDescent="0.2">
      <c r="A21" s="9" t="s">
        <v>24</v>
      </c>
      <c r="B21" s="10">
        <v>443</v>
      </c>
      <c r="C21" s="11">
        <v>48071.46</v>
      </c>
      <c r="D21" s="10">
        <v>297</v>
      </c>
      <c r="E21" s="11">
        <v>42699.76</v>
      </c>
      <c r="F21" s="206">
        <f t="shared" si="6"/>
        <v>0.67042889390519189</v>
      </c>
      <c r="G21" s="219">
        <f t="shared" si="7"/>
        <v>0.88825594229923543</v>
      </c>
      <c r="H21" s="13"/>
      <c r="I21" s="13"/>
      <c r="J21" s="13"/>
      <c r="M21" s="13"/>
    </row>
    <row r="22" spans="1:13" ht="18.75" hidden="1" customHeight="1" outlineLevel="1" x14ac:dyDescent="0.2">
      <c r="A22" s="9" t="s">
        <v>25</v>
      </c>
      <c r="B22" s="10">
        <v>0</v>
      </c>
      <c r="C22" s="11">
        <v>0</v>
      </c>
      <c r="D22" s="10"/>
      <c r="E22" s="11"/>
      <c r="F22" s="206"/>
      <c r="G22" s="219"/>
      <c r="H22" s="13"/>
      <c r="I22" s="13"/>
      <c r="J22" s="72"/>
      <c r="M22" s="13"/>
    </row>
    <row r="23" spans="1:13" ht="18.75" customHeight="1" outlineLevel="1" x14ac:dyDescent="0.2">
      <c r="A23" s="9" t="s">
        <v>26</v>
      </c>
      <c r="B23" s="10">
        <v>271</v>
      </c>
      <c r="C23" s="11">
        <v>30663.01</v>
      </c>
      <c r="D23" s="10">
        <v>254</v>
      </c>
      <c r="E23" s="11">
        <v>25066.47</v>
      </c>
      <c r="F23" s="206">
        <f t="shared" si="6"/>
        <v>0.9372693726937269</v>
      </c>
      <c r="G23" s="219">
        <f t="shared" si="7"/>
        <v>0.81748236719095757</v>
      </c>
      <c r="H23" s="13"/>
      <c r="I23" s="13"/>
      <c r="J23" s="13"/>
      <c r="M23" s="13"/>
    </row>
    <row r="24" spans="1:13" ht="18.75" customHeight="1" outlineLevel="1" x14ac:dyDescent="0.2">
      <c r="A24" s="9" t="s">
        <v>27</v>
      </c>
      <c r="B24" s="10">
        <v>656</v>
      </c>
      <c r="C24" s="11">
        <v>70122.52</v>
      </c>
      <c r="D24" s="10">
        <v>481</v>
      </c>
      <c r="E24" s="11">
        <v>57955.98</v>
      </c>
      <c r="F24" s="206">
        <f t="shared" si="6"/>
        <v>0.73323170731707321</v>
      </c>
      <c r="G24" s="219">
        <f t="shared" si="7"/>
        <v>0.82649596734401443</v>
      </c>
      <c r="H24" s="13"/>
      <c r="I24" s="13"/>
      <c r="J24" s="13"/>
      <c r="M24" s="13"/>
    </row>
    <row r="25" spans="1:13" ht="18.75" customHeight="1" outlineLevel="1" x14ac:dyDescent="0.2">
      <c r="A25" s="9" t="s">
        <v>28</v>
      </c>
      <c r="B25" s="10">
        <v>308</v>
      </c>
      <c r="C25" s="11">
        <v>37988.21</v>
      </c>
      <c r="D25" s="10">
        <v>274</v>
      </c>
      <c r="E25" s="11">
        <v>32929.56</v>
      </c>
      <c r="F25" s="206">
        <f t="shared" si="6"/>
        <v>0.88961038961038963</v>
      </c>
      <c r="G25" s="219">
        <f t="shared" si="7"/>
        <v>0.86683631579376863</v>
      </c>
      <c r="H25" s="13"/>
      <c r="I25" s="13"/>
      <c r="J25" s="13"/>
      <c r="M25" s="13"/>
    </row>
    <row r="26" spans="1:13" ht="18.75" customHeight="1" outlineLevel="1" x14ac:dyDescent="0.2">
      <c r="A26" s="14" t="s">
        <v>50</v>
      </c>
      <c r="B26" s="10">
        <v>693</v>
      </c>
      <c r="C26" s="16">
        <v>66639.02</v>
      </c>
      <c r="D26" s="10">
        <v>513</v>
      </c>
      <c r="E26" s="16">
        <v>50533.75</v>
      </c>
      <c r="F26" s="206">
        <f t="shared" si="6"/>
        <v>0.74025974025974028</v>
      </c>
      <c r="G26" s="219">
        <f t="shared" si="7"/>
        <v>0.75832072560490826</v>
      </c>
      <c r="H26" s="13"/>
      <c r="I26" s="13"/>
      <c r="J26" s="13"/>
      <c r="M26" s="13"/>
    </row>
    <row r="27" spans="1:13" ht="18.75" customHeight="1" outlineLevel="1" thickBot="1" x14ac:dyDescent="0.25">
      <c r="A27" s="9" t="s">
        <v>29</v>
      </c>
      <c r="B27" s="10">
        <v>854</v>
      </c>
      <c r="C27" s="11">
        <v>90823.98</v>
      </c>
      <c r="D27" s="10">
        <v>762</v>
      </c>
      <c r="E27" s="11">
        <v>82470</v>
      </c>
      <c r="F27" s="206">
        <f t="shared" si="6"/>
        <v>0.89227166276346603</v>
      </c>
      <c r="G27" s="219">
        <f t="shared" si="7"/>
        <v>0.9080201065841863</v>
      </c>
      <c r="H27" s="34"/>
      <c r="I27" s="34"/>
      <c r="J27" s="13"/>
      <c r="M27" s="13"/>
    </row>
    <row r="28" spans="1:13" ht="18.75" hidden="1" customHeight="1" outlineLevel="1" thickBot="1" x14ac:dyDescent="0.25">
      <c r="A28" s="67" t="s">
        <v>30</v>
      </c>
      <c r="B28" s="73">
        <f>SUM(B20:B27)</f>
        <v>3982</v>
      </c>
      <c r="C28" s="70">
        <f t="shared" ref="C28:G28" si="8">SUM(C20:C27)</f>
        <v>410758.70999999996</v>
      </c>
      <c r="D28" s="73"/>
      <c r="E28" s="70"/>
      <c r="F28" s="221">
        <f t="shared" si="8"/>
        <v>5.7613544613976728</v>
      </c>
      <c r="G28" s="222">
        <f t="shared" si="8"/>
        <v>6.0433083589414291</v>
      </c>
      <c r="H28" s="29"/>
      <c r="I28" s="29"/>
      <c r="J28" s="13"/>
      <c r="K28" s="18"/>
      <c r="L28" s="18"/>
    </row>
    <row r="29" spans="1:13" ht="18.75" customHeight="1" outlineLevel="1" thickBot="1" x14ac:dyDescent="0.25">
      <c r="A29" s="90" t="s">
        <v>62</v>
      </c>
      <c r="B29" s="68">
        <f t="shared" ref="B29:C29" si="9">B28+B19+B12</f>
        <v>23373</v>
      </c>
      <c r="C29" s="70">
        <f t="shared" si="9"/>
        <v>2726133.3</v>
      </c>
      <c r="D29" s="73">
        <f>SUM(D8:D28)</f>
        <v>16419</v>
      </c>
      <c r="E29" s="70">
        <f>SUM(E8:E28)</f>
        <v>2249971.7299999995</v>
      </c>
      <c r="F29" s="221">
        <f t="shared" ref="F29" si="10">D29/B29</f>
        <v>0.70247721730201518</v>
      </c>
      <c r="G29" s="222">
        <f t="shared" ref="G29" si="11">E29/C29</f>
        <v>0.82533445081353862</v>
      </c>
      <c r="H29" s="29"/>
      <c r="I29" s="29"/>
      <c r="J29" s="13"/>
    </row>
    <row r="30" spans="1:13" ht="18.75" hidden="1" customHeight="1" outlineLevel="1" thickBot="1" x14ac:dyDescent="0.25">
      <c r="A30" s="343" t="s">
        <v>51</v>
      </c>
      <c r="B30" s="344"/>
      <c r="C30" s="344"/>
      <c r="D30" s="344"/>
      <c r="E30" s="344"/>
      <c r="F30" s="344"/>
      <c r="G30" s="344"/>
    </row>
    <row r="31" spans="1:13" ht="18.75" hidden="1" customHeight="1" outlineLevel="1" x14ac:dyDescent="0.2">
      <c r="A31" s="36" t="s">
        <v>31</v>
      </c>
      <c r="B31" s="37"/>
      <c r="C31" s="12"/>
      <c r="D31" s="37"/>
      <c r="E31" s="12"/>
      <c r="F31" s="37"/>
      <c r="G31" s="12"/>
      <c r="H31" s="13"/>
      <c r="I31" s="13"/>
      <c r="J31" s="13"/>
    </row>
    <row r="32" spans="1:13" ht="18.75" hidden="1" customHeight="1" outlineLevel="1" x14ac:dyDescent="0.2">
      <c r="A32" s="36" t="s">
        <v>32</v>
      </c>
      <c r="B32" s="37"/>
      <c r="C32" s="12"/>
      <c r="D32" s="37"/>
      <c r="E32" s="12"/>
      <c r="F32" s="37"/>
      <c r="G32" s="12"/>
      <c r="H32" s="13"/>
      <c r="I32" s="13"/>
      <c r="J32" s="13"/>
    </row>
    <row r="33" spans="1:12" ht="18.75" hidden="1" customHeight="1" outlineLevel="1" x14ac:dyDescent="0.2">
      <c r="A33" s="36" t="s">
        <v>33</v>
      </c>
      <c r="B33" s="40"/>
      <c r="C33" s="41"/>
      <c r="D33" s="40"/>
      <c r="E33" s="41"/>
      <c r="F33" s="40"/>
      <c r="G33" s="41"/>
      <c r="H33" s="13"/>
      <c r="I33" s="13"/>
      <c r="J33" s="13"/>
    </row>
    <row r="34" spans="1:12" ht="18.75" hidden="1" customHeight="1" outlineLevel="1" x14ac:dyDescent="0.2">
      <c r="A34" s="42" t="s">
        <v>34</v>
      </c>
      <c r="B34" s="44"/>
      <c r="C34" s="22"/>
      <c r="D34" s="44"/>
      <c r="E34" s="22"/>
      <c r="F34" s="44"/>
      <c r="G34" s="22"/>
      <c r="H34" s="13"/>
      <c r="I34" s="13"/>
      <c r="J34" s="13"/>
    </row>
    <row r="35" spans="1:12" ht="18.75" hidden="1" customHeight="1" outlineLevel="1" x14ac:dyDescent="0.2">
      <c r="A35" s="36" t="s">
        <v>35</v>
      </c>
      <c r="B35" s="37"/>
      <c r="C35" s="12"/>
      <c r="D35" s="37"/>
      <c r="E35" s="12"/>
      <c r="F35" s="37"/>
      <c r="G35" s="12"/>
      <c r="H35" s="13"/>
      <c r="I35" s="13"/>
      <c r="J35" s="13"/>
    </row>
    <row r="36" spans="1:12" ht="27.75" hidden="1" customHeight="1" outlineLevel="1" x14ac:dyDescent="0.2">
      <c r="A36" s="45" t="s">
        <v>52</v>
      </c>
      <c r="B36" s="47"/>
      <c r="C36" s="48"/>
      <c r="D36" s="47"/>
      <c r="E36" s="48"/>
      <c r="F36" s="47"/>
      <c r="G36" s="48"/>
      <c r="H36" s="13"/>
      <c r="I36" s="13"/>
      <c r="J36" s="13"/>
    </row>
    <row r="37" spans="1:12" ht="18.75" hidden="1" customHeight="1" outlineLevel="1" x14ac:dyDescent="0.2">
      <c r="A37" s="36" t="s">
        <v>36</v>
      </c>
      <c r="B37" s="37"/>
      <c r="C37" s="12"/>
      <c r="D37" s="37"/>
      <c r="E37" s="12"/>
      <c r="F37" s="37"/>
      <c r="G37" s="12"/>
      <c r="H37" s="13"/>
      <c r="I37" s="13"/>
      <c r="J37" s="13"/>
    </row>
    <row r="38" spans="1:12" ht="18.75" hidden="1" customHeight="1" outlineLevel="1" x14ac:dyDescent="0.2">
      <c r="A38" s="36" t="s">
        <v>53</v>
      </c>
      <c r="B38" s="37"/>
      <c r="C38" s="12"/>
      <c r="D38" s="37"/>
      <c r="E38" s="12"/>
      <c r="F38" s="37"/>
      <c r="G38" s="12"/>
      <c r="H38" s="13"/>
      <c r="I38" s="13"/>
      <c r="J38" s="13"/>
    </row>
    <row r="39" spans="1:12" ht="18.75" hidden="1" customHeight="1" outlineLevel="1" x14ac:dyDescent="0.2">
      <c r="A39" s="36" t="s">
        <v>37</v>
      </c>
      <c r="B39" s="37"/>
      <c r="C39" s="12"/>
      <c r="D39" s="37"/>
      <c r="E39" s="12"/>
      <c r="F39" s="37"/>
      <c r="G39" s="12"/>
      <c r="H39" s="13"/>
      <c r="I39" s="13"/>
      <c r="J39" s="13"/>
    </row>
    <row r="40" spans="1:12" ht="18.75" hidden="1" customHeight="1" outlineLevel="1" x14ac:dyDescent="0.2">
      <c r="A40" s="36" t="s">
        <v>38</v>
      </c>
      <c r="B40" s="37"/>
      <c r="C40" s="12"/>
      <c r="D40" s="37"/>
      <c r="E40" s="12"/>
      <c r="F40" s="37"/>
      <c r="G40" s="12"/>
      <c r="H40" s="13"/>
      <c r="I40" s="13"/>
      <c r="J40" s="13"/>
    </row>
    <row r="41" spans="1:12" ht="18.75" hidden="1" customHeight="1" outlineLevel="1" x14ac:dyDescent="0.2">
      <c r="A41" s="49" t="s">
        <v>39</v>
      </c>
      <c r="B41" s="50"/>
      <c r="C41" s="51"/>
      <c r="D41" s="50"/>
      <c r="E41" s="51"/>
      <c r="F41" s="50"/>
      <c r="G41" s="51"/>
      <c r="H41" s="13"/>
      <c r="I41" s="13"/>
      <c r="J41" s="13"/>
    </row>
    <row r="42" spans="1:12" ht="33" hidden="1" customHeight="1" outlineLevel="1" thickBot="1" x14ac:dyDescent="0.25">
      <c r="A42" s="76" t="s">
        <v>40</v>
      </c>
      <c r="B42" s="77">
        <f>SUM(B31:B41)</f>
        <v>0</v>
      </c>
      <c r="C42" s="78">
        <f t="shared" ref="C42:G42" si="12">SUM(C31:C41)</f>
        <v>0</v>
      </c>
      <c r="D42" s="77">
        <f t="shared" si="12"/>
        <v>0</v>
      </c>
      <c r="E42" s="78">
        <f t="shared" si="12"/>
        <v>0</v>
      </c>
      <c r="F42" s="77">
        <f t="shared" si="12"/>
        <v>0</v>
      </c>
      <c r="G42" s="78">
        <f t="shared" si="12"/>
        <v>0</v>
      </c>
      <c r="H42" s="13"/>
      <c r="I42" s="13"/>
      <c r="J42" s="13"/>
    </row>
    <row r="43" spans="1:12" ht="37.5" hidden="1" customHeight="1" outlineLevel="1" thickBot="1" x14ac:dyDescent="0.25">
      <c r="A43" s="345" t="s">
        <v>41</v>
      </c>
      <c r="B43" s="346"/>
      <c r="C43" s="346"/>
      <c r="D43" s="346"/>
      <c r="E43" s="346"/>
      <c r="F43" s="346"/>
      <c r="G43" s="346"/>
      <c r="H43" s="13"/>
      <c r="I43" s="13"/>
      <c r="J43" s="13"/>
      <c r="K43" s="13"/>
      <c r="L43" s="13"/>
    </row>
    <row r="44" spans="1:12" ht="18.75" hidden="1" customHeight="1" outlineLevel="1" x14ac:dyDescent="0.2">
      <c r="A44" s="49" t="s">
        <v>42</v>
      </c>
      <c r="B44" s="50"/>
      <c r="C44" s="55"/>
      <c r="D44" s="50"/>
      <c r="E44" s="55"/>
      <c r="F44" s="50"/>
      <c r="G44" s="55"/>
      <c r="H44" s="13"/>
      <c r="I44" s="13"/>
      <c r="J44" s="13"/>
    </row>
    <row r="45" spans="1:12" ht="18.75" hidden="1" customHeight="1" outlineLevel="1" x14ac:dyDescent="0.2">
      <c r="A45" s="49" t="s">
        <v>43</v>
      </c>
      <c r="B45" s="50"/>
      <c r="C45" s="55"/>
      <c r="D45" s="50"/>
      <c r="E45" s="55"/>
      <c r="F45" s="50"/>
      <c r="G45" s="55"/>
      <c r="H45" s="13"/>
      <c r="I45" s="13"/>
      <c r="J45" s="13"/>
    </row>
    <row r="46" spans="1:12" ht="18.75" hidden="1" customHeight="1" outlineLevel="1" x14ac:dyDescent="0.2">
      <c r="A46" s="49" t="s">
        <v>44</v>
      </c>
      <c r="B46" s="50"/>
      <c r="C46" s="55"/>
      <c r="D46" s="50"/>
      <c r="E46" s="55"/>
      <c r="F46" s="50"/>
      <c r="G46" s="55"/>
      <c r="H46" s="13"/>
      <c r="I46" s="13"/>
      <c r="J46" s="13"/>
    </row>
    <row r="47" spans="1:12" ht="18.75" hidden="1" customHeight="1" outlineLevel="1" x14ac:dyDescent="0.2">
      <c r="A47" s="56" t="s">
        <v>45</v>
      </c>
      <c r="B47" s="59"/>
      <c r="C47" s="58"/>
      <c r="D47" s="59"/>
      <c r="E47" s="58"/>
      <c r="F47" s="59"/>
      <c r="G47" s="58"/>
      <c r="H47" s="13"/>
      <c r="I47" s="13"/>
      <c r="J47" s="13"/>
    </row>
    <row r="48" spans="1:12" ht="18.75" hidden="1" customHeight="1" outlineLevel="1" thickBot="1" x14ac:dyDescent="0.25">
      <c r="A48" s="76" t="s">
        <v>46</v>
      </c>
      <c r="B48" s="77">
        <f t="shared" ref="B48:G48" si="13">SUM(B44:B47)</f>
        <v>0</v>
      </c>
      <c r="C48" s="78">
        <f t="shared" si="13"/>
        <v>0</v>
      </c>
      <c r="D48" s="77">
        <f>SUM(D44:D47)</f>
        <v>0</v>
      </c>
      <c r="E48" s="78">
        <f t="shared" si="13"/>
        <v>0</v>
      </c>
      <c r="F48" s="77">
        <f t="shared" si="13"/>
        <v>0</v>
      </c>
      <c r="G48" s="78">
        <f t="shared" si="13"/>
        <v>0</v>
      </c>
      <c r="H48" s="13"/>
      <c r="I48" s="13"/>
      <c r="J48" s="13"/>
    </row>
    <row r="49" spans="1:13" ht="34.5" customHeight="1" outlineLevel="1" thickBot="1" x14ac:dyDescent="0.25">
      <c r="A49" s="81" t="s">
        <v>47</v>
      </c>
      <c r="B49" s="82">
        <f>B48+B42+B29</f>
        <v>23373</v>
      </c>
      <c r="C49" s="70">
        <f t="shared" ref="C49:G49" si="14">C48+C42+C29</f>
        <v>2726133.3</v>
      </c>
      <c r="D49" s="82">
        <f>D48+D42+D29</f>
        <v>16419</v>
      </c>
      <c r="E49" s="70">
        <f t="shared" si="14"/>
        <v>2249971.7299999995</v>
      </c>
      <c r="F49" s="82">
        <f t="shared" si="14"/>
        <v>0.70247721730201518</v>
      </c>
      <c r="G49" s="70">
        <f t="shared" si="14"/>
        <v>0.82533445081353862</v>
      </c>
      <c r="H49" s="18"/>
      <c r="I49" s="18"/>
      <c r="J49" s="18"/>
      <c r="K49" s="13"/>
      <c r="L49" s="13"/>
      <c r="M49" s="13"/>
    </row>
    <row r="65" spans="1:7" ht="18.75" customHeight="1" x14ac:dyDescent="0.25">
      <c r="A65" s="2"/>
      <c r="B65" s="84"/>
      <c r="C65" s="84"/>
      <c r="D65"/>
      <c r="E65"/>
      <c r="F65" s="60"/>
      <c r="G65" s="60"/>
    </row>
    <row r="66" spans="1:7" ht="18.75" customHeight="1" x14ac:dyDescent="0.25">
      <c r="A66" s="2"/>
      <c r="B66" s="84"/>
      <c r="C66" s="84"/>
      <c r="D66"/>
      <c r="E66"/>
      <c r="F66" s="60"/>
      <c r="G66" s="60"/>
    </row>
    <row r="68" spans="1:7" ht="18.75" customHeight="1" x14ac:dyDescent="0.25">
      <c r="A68" s="2"/>
      <c r="C68" s="87"/>
      <c r="D68"/>
      <c r="E68"/>
      <c r="F68" s="88"/>
      <c r="G68" s="88"/>
    </row>
  </sheetData>
  <sheetProtection formatCells="0" insertRows="0"/>
  <mergeCells count="14">
    <mergeCell ref="A30:G30"/>
    <mergeCell ref="A43:G43"/>
    <mergeCell ref="B5:B6"/>
    <mergeCell ref="C5:C6"/>
    <mergeCell ref="D5:D6"/>
    <mergeCell ref="E5:E6"/>
    <mergeCell ref="A1:G1"/>
    <mergeCell ref="A2:G2"/>
    <mergeCell ref="A4:A6"/>
    <mergeCell ref="B4:C4"/>
    <mergeCell ref="D4:E4"/>
    <mergeCell ref="F4:G4"/>
    <mergeCell ref="F5:F6"/>
    <mergeCell ref="G5:G6"/>
  </mergeCells>
  <pageMargins left="0.39370078740157483" right="0" top="0" bottom="0" header="0.51181102362204722" footer="0.51181102362204722"/>
  <pageSetup paperSize="9" scale="4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69"/>
  <sheetViews>
    <sheetView tabSelected="1" view="pageBreakPreview" zoomScale="60" zoomScaleNormal="100" workbookViewId="0">
      <pane xSplit="1" ySplit="8" topLeftCell="E9" activePane="bottomRight" state="frozen"/>
      <selection pane="topRight" activeCell="B1" sqref="B1"/>
      <selection pane="bottomLeft" activeCell="A8" sqref="A8"/>
      <selection pane="bottomRight" activeCell="AP1" sqref="AP1:AR1048576"/>
    </sheetView>
  </sheetViews>
  <sheetFormatPr defaultColWidth="9.28515625" defaultRowHeight="18.75" customHeight="1" outlineLevelRow="1" x14ac:dyDescent="0.25"/>
  <cols>
    <col min="1" max="1" width="62" style="61" customWidth="1"/>
    <col min="2" max="2" width="11.28515625" style="61" customWidth="1"/>
    <col min="3" max="3" width="13" style="61" customWidth="1"/>
    <col min="4" max="4" width="12.7109375" style="61" customWidth="1"/>
    <col min="5" max="5" width="12.5703125" style="61" customWidth="1"/>
    <col min="6" max="6" width="13.140625" style="61" customWidth="1"/>
    <col min="7" max="7" width="11.7109375" style="61" customWidth="1"/>
    <col min="8" max="8" width="10.5703125" style="61" customWidth="1"/>
    <col min="9" max="9" width="11.42578125" style="61" customWidth="1"/>
    <col min="10" max="10" width="11" style="61" customWidth="1"/>
    <col min="11" max="11" width="12.5703125" style="61" customWidth="1"/>
    <col min="12" max="12" width="15.5703125" style="86" customWidth="1"/>
    <col min="13" max="13" width="10.42578125" style="2" customWidth="1"/>
    <col min="14" max="14" width="11.7109375" style="2" bestFit="1" customWidth="1"/>
    <col min="15" max="16" width="12.28515625" style="2" customWidth="1"/>
    <col min="17" max="17" width="12.28515625" style="2" bestFit="1" customWidth="1"/>
    <col min="18" max="18" width="11.85546875" style="2" customWidth="1"/>
    <col min="19" max="19" width="11.140625" style="2" customWidth="1"/>
    <col min="20" max="20" width="10.85546875" style="2" customWidth="1"/>
    <col min="21" max="21" width="11.140625" style="2" customWidth="1"/>
    <col min="22" max="22" width="13.28515625" style="2" customWidth="1"/>
    <col min="23" max="23" width="12.140625" style="2" customWidth="1"/>
    <col min="24" max="24" width="9.85546875" style="2" customWidth="1"/>
    <col min="25" max="25" width="9.28515625" style="2"/>
    <col min="26" max="26" width="15.140625" style="2" customWidth="1"/>
    <col min="27" max="27" width="9.28515625" style="2"/>
    <col min="28" max="28" width="12.5703125" style="2" customWidth="1"/>
    <col min="29" max="29" width="9.28515625" style="2"/>
    <col min="30" max="30" width="12" style="2" customWidth="1"/>
    <col min="31" max="31" width="9.28515625" style="2"/>
    <col min="32" max="32" width="13.7109375" style="2" customWidth="1"/>
    <col min="33" max="33" width="12.140625" style="2" customWidth="1"/>
    <col min="34" max="34" width="13.5703125" style="2" customWidth="1"/>
    <col min="35" max="35" width="11.28515625" style="2" customWidth="1"/>
    <col min="36" max="36" width="13.28515625" style="2" customWidth="1"/>
    <col min="37" max="37" width="13.42578125" style="2" customWidth="1"/>
    <col min="38" max="38" width="12" style="2" customWidth="1"/>
    <col min="39" max="39" width="11.42578125" style="2" customWidth="1"/>
    <col min="40" max="40" width="9.28515625" style="2"/>
    <col min="41" max="41" width="11.85546875" style="2" customWidth="1"/>
    <col min="42" max="42" width="9.28515625" style="2"/>
    <col min="43" max="43" width="12.7109375" style="2" bestFit="1" customWidth="1"/>
    <col min="44" max="16384" width="9.28515625" style="2"/>
  </cols>
  <sheetData>
    <row r="1" spans="1:43" ht="39" customHeight="1" outlineLevel="1" x14ac:dyDescent="0.25">
      <c r="B1" s="332" t="s">
        <v>64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</row>
    <row r="2" spans="1:43" ht="18.75" customHeight="1" outlineLevel="1" x14ac:dyDescent="0.25">
      <c r="B2" s="333" t="s">
        <v>54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</row>
    <row r="3" spans="1:43" ht="18.75" customHeight="1" outlineLevel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" s="6" customFormat="1" ht="18.75" customHeight="1" outlineLevel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W4" s="317" t="s">
        <v>147</v>
      </c>
    </row>
    <row r="5" spans="1:43" s="7" customFormat="1" ht="25.5" customHeight="1" outlineLevel="1" x14ac:dyDescent="0.2">
      <c r="A5" s="349" t="s">
        <v>0</v>
      </c>
      <c r="B5" s="352" t="s">
        <v>55</v>
      </c>
      <c r="C5" s="353"/>
      <c r="D5" s="353"/>
      <c r="E5" s="353"/>
      <c r="F5" s="353"/>
      <c r="G5" s="353"/>
      <c r="H5" s="353"/>
      <c r="I5" s="353"/>
      <c r="J5" s="353"/>
      <c r="K5" s="353"/>
      <c r="L5" s="354"/>
      <c r="M5" s="353" t="s">
        <v>56</v>
      </c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2" t="s">
        <v>57</v>
      </c>
      <c r="Y5" s="353"/>
      <c r="Z5" s="353"/>
      <c r="AA5" s="353"/>
      <c r="AB5" s="353"/>
      <c r="AC5" s="353"/>
      <c r="AD5" s="353"/>
      <c r="AE5" s="353"/>
      <c r="AF5" s="353"/>
      <c r="AG5" s="353"/>
      <c r="AH5" s="354"/>
    </row>
    <row r="6" spans="1:43" s="7" customFormat="1" ht="53.25" customHeight="1" outlineLevel="1" x14ac:dyDescent="0.2">
      <c r="A6" s="350"/>
      <c r="B6" s="358" t="s">
        <v>48</v>
      </c>
      <c r="C6" s="338"/>
      <c r="D6" s="356" t="s">
        <v>1</v>
      </c>
      <c r="E6" s="357"/>
      <c r="F6" s="356" t="s">
        <v>2</v>
      </c>
      <c r="G6" s="357"/>
      <c r="H6" s="337" t="s">
        <v>3</v>
      </c>
      <c r="I6" s="338"/>
      <c r="J6" s="337" t="s">
        <v>4</v>
      </c>
      <c r="K6" s="338"/>
      <c r="L6" s="115" t="s">
        <v>58</v>
      </c>
      <c r="M6" s="355" t="s">
        <v>48</v>
      </c>
      <c r="N6" s="338"/>
      <c r="O6" s="356" t="s">
        <v>1</v>
      </c>
      <c r="P6" s="357"/>
      <c r="Q6" s="356" t="s">
        <v>2</v>
      </c>
      <c r="R6" s="357"/>
      <c r="S6" s="337" t="s">
        <v>3</v>
      </c>
      <c r="T6" s="338"/>
      <c r="U6" s="337" t="s">
        <v>4</v>
      </c>
      <c r="V6" s="338"/>
      <c r="W6" s="140" t="s">
        <v>58</v>
      </c>
      <c r="X6" s="358" t="s">
        <v>48</v>
      </c>
      <c r="Y6" s="338"/>
      <c r="Z6" s="356" t="s">
        <v>1</v>
      </c>
      <c r="AA6" s="357"/>
      <c r="AB6" s="356" t="s">
        <v>2</v>
      </c>
      <c r="AC6" s="357"/>
      <c r="AD6" s="337" t="s">
        <v>3</v>
      </c>
      <c r="AE6" s="338"/>
      <c r="AF6" s="337" t="s">
        <v>4</v>
      </c>
      <c r="AG6" s="338"/>
      <c r="AH6" s="115" t="s">
        <v>58</v>
      </c>
    </row>
    <row r="7" spans="1:43" s="8" customFormat="1" ht="38.25" customHeight="1" outlineLevel="1" x14ac:dyDescent="0.2">
      <c r="A7" s="351"/>
      <c r="B7" s="116" t="s">
        <v>8</v>
      </c>
      <c r="C7" s="62" t="s">
        <v>7</v>
      </c>
      <c r="D7" s="62" t="s">
        <v>9</v>
      </c>
      <c r="E7" s="62" t="s">
        <v>7</v>
      </c>
      <c r="F7" s="62" t="s">
        <v>9</v>
      </c>
      <c r="G7" s="62" t="s">
        <v>7</v>
      </c>
      <c r="H7" s="62" t="s">
        <v>8</v>
      </c>
      <c r="I7" s="62" t="s">
        <v>7</v>
      </c>
      <c r="J7" s="62" t="s">
        <v>10</v>
      </c>
      <c r="K7" s="62" t="s">
        <v>7</v>
      </c>
      <c r="L7" s="117" t="s">
        <v>7</v>
      </c>
      <c r="M7" s="111" t="s">
        <v>8</v>
      </c>
      <c r="N7" s="62" t="s">
        <v>7</v>
      </c>
      <c r="O7" s="62" t="s">
        <v>9</v>
      </c>
      <c r="P7" s="62" t="s">
        <v>7</v>
      </c>
      <c r="Q7" s="62" t="s">
        <v>9</v>
      </c>
      <c r="R7" s="62" t="s">
        <v>7</v>
      </c>
      <c r="S7" s="62" t="s">
        <v>8</v>
      </c>
      <c r="T7" s="62" t="s">
        <v>7</v>
      </c>
      <c r="U7" s="62" t="s">
        <v>10</v>
      </c>
      <c r="V7" s="62" t="s">
        <v>7</v>
      </c>
      <c r="W7" s="141" t="s">
        <v>7</v>
      </c>
      <c r="X7" s="116" t="s">
        <v>8</v>
      </c>
      <c r="Y7" s="62" t="s">
        <v>7</v>
      </c>
      <c r="Z7" s="62" t="s">
        <v>9</v>
      </c>
      <c r="AA7" s="62" t="s">
        <v>7</v>
      </c>
      <c r="AB7" s="62" t="s">
        <v>9</v>
      </c>
      <c r="AC7" s="62" t="s">
        <v>7</v>
      </c>
      <c r="AD7" s="62" t="s">
        <v>8</v>
      </c>
      <c r="AE7" s="62" t="s">
        <v>7</v>
      </c>
      <c r="AF7" s="62" t="s">
        <v>10</v>
      </c>
      <c r="AG7" s="62" t="s">
        <v>7</v>
      </c>
      <c r="AH7" s="117" t="s">
        <v>7</v>
      </c>
    </row>
    <row r="8" spans="1:43" s="7" customFormat="1" ht="18.75" customHeight="1" outlineLevel="1" thickBot="1" x14ac:dyDescent="0.25">
      <c r="A8" s="135" t="s">
        <v>11</v>
      </c>
      <c r="B8" s="136">
        <v>2</v>
      </c>
      <c r="C8" s="137">
        <v>3</v>
      </c>
      <c r="D8" s="137">
        <v>4</v>
      </c>
      <c r="E8" s="137">
        <v>5</v>
      </c>
      <c r="F8" s="137">
        <v>6</v>
      </c>
      <c r="G8" s="137">
        <v>7</v>
      </c>
      <c r="H8" s="137">
        <v>8</v>
      </c>
      <c r="I8" s="137">
        <v>9</v>
      </c>
      <c r="J8" s="137">
        <v>10</v>
      </c>
      <c r="K8" s="137">
        <v>11</v>
      </c>
      <c r="L8" s="138">
        <v>12</v>
      </c>
      <c r="M8" s="139" t="s">
        <v>59</v>
      </c>
      <c r="N8" s="137">
        <v>13</v>
      </c>
      <c r="O8" s="137">
        <v>14</v>
      </c>
      <c r="P8" s="137">
        <v>15</v>
      </c>
      <c r="Q8" s="137">
        <v>16</v>
      </c>
      <c r="R8" s="137">
        <v>17</v>
      </c>
      <c r="S8" s="137">
        <v>18</v>
      </c>
      <c r="T8" s="137">
        <v>19</v>
      </c>
      <c r="U8" s="137">
        <v>20</v>
      </c>
      <c r="V8" s="137">
        <v>21</v>
      </c>
      <c r="W8" s="142">
        <v>22</v>
      </c>
      <c r="X8" s="136">
        <v>23</v>
      </c>
      <c r="Y8" s="137" t="s">
        <v>60</v>
      </c>
      <c r="Z8" s="137">
        <v>24</v>
      </c>
      <c r="AA8" s="137">
        <v>25</v>
      </c>
      <c r="AB8" s="137">
        <v>26</v>
      </c>
      <c r="AC8" s="137">
        <v>27</v>
      </c>
      <c r="AD8" s="137">
        <v>28</v>
      </c>
      <c r="AE8" s="137">
        <v>29</v>
      </c>
      <c r="AF8" s="137">
        <v>30</v>
      </c>
      <c r="AG8" s="137">
        <v>31</v>
      </c>
      <c r="AH8" s="138">
        <v>32</v>
      </c>
    </row>
    <row r="9" spans="1:43" ht="18.75" customHeight="1" outlineLevel="1" x14ac:dyDescent="0.2">
      <c r="A9" s="102" t="s">
        <v>12</v>
      </c>
      <c r="B9" s="121">
        <v>30294</v>
      </c>
      <c r="C9" s="32">
        <v>18419.939999999999</v>
      </c>
      <c r="D9" s="32"/>
      <c r="E9" s="32"/>
      <c r="F9" s="31"/>
      <c r="G9" s="32"/>
      <c r="H9" s="31">
        <v>5175</v>
      </c>
      <c r="I9" s="32">
        <v>10399.799999999999</v>
      </c>
      <c r="J9" s="31">
        <v>6985</v>
      </c>
      <c r="K9" s="32">
        <v>99595.839999999997</v>
      </c>
      <c r="L9" s="122">
        <f>K9+C9+I9+E9+G9</f>
        <v>128415.58</v>
      </c>
      <c r="M9" s="20">
        <f>22537</f>
        <v>22537</v>
      </c>
      <c r="N9" s="32">
        <f>13826.39</f>
        <v>13826.39</v>
      </c>
      <c r="O9" s="32">
        <v>0</v>
      </c>
      <c r="P9" s="32">
        <v>0</v>
      </c>
      <c r="Q9" s="31">
        <v>0</v>
      </c>
      <c r="R9" s="32">
        <v>0</v>
      </c>
      <c r="S9" s="31">
        <f>2361</f>
        <v>2361</v>
      </c>
      <c r="T9" s="32">
        <f>4744.69</f>
        <v>4744.6899999999996</v>
      </c>
      <c r="U9" s="31">
        <f>3648</f>
        <v>3648</v>
      </c>
      <c r="V9" s="32">
        <f>11708.49+7548.66+140.61</f>
        <v>19397.760000000002</v>
      </c>
      <c r="W9" s="143">
        <f>V9+N9+T9+P9+R9</f>
        <v>37968.840000000004</v>
      </c>
      <c r="X9" s="150">
        <f t="shared" ref="X9:Y24" si="0">IFERROR(M9/B9,0)</f>
        <v>0.74394269492308707</v>
      </c>
      <c r="Y9" s="151">
        <f t="shared" si="0"/>
        <v>0.75062079463885334</v>
      </c>
      <c r="Z9" s="151"/>
      <c r="AA9" s="151"/>
      <c r="AB9" s="151"/>
      <c r="AC9" s="151"/>
      <c r="AD9" s="151">
        <f t="shared" ref="AD9:AH24" si="1">IFERROR(S9/H9,0)</f>
        <v>0.45623188405797099</v>
      </c>
      <c r="AE9" s="151">
        <f t="shared" si="1"/>
        <v>0.45622896594165274</v>
      </c>
      <c r="AF9" s="151">
        <f t="shared" si="1"/>
        <v>0.52226198997852546</v>
      </c>
      <c r="AG9" s="151">
        <f t="shared" si="1"/>
        <v>0.19476476125910483</v>
      </c>
      <c r="AH9" s="152">
        <f t="shared" si="1"/>
        <v>0.29567159997252673</v>
      </c>
      <c r="AQ9" s="13"/>
    </row>
    <row r="10" spans="1:43" ht="18.75" customHeight="1" outlineLevel="1" x14ac:dyDescent="0.2">
      <c r="A10" s="96" t="s">
        <v>13</v>
      </c>
      <c r="B10" s="118">
        <v>4666</v>
      </c>
      <c r="C10" s="11">
        <v>3111.8399999999997</v>
      </c>
      <c r="D10" s="11"/>
      <c r="E10" s="11"/>
      <c r="F10" s="10"/>
      <c r="G10" s="11"/>
      <c r="H10" s="10"/>
      <c r="I10" s="11"/>
      <c r="J10" s="10">
        <v>5134</v>
      </c>
      <c r="K10" s="11">
        <v>69517.98</v>
      </c>
      <c r="L10" s="119">
        <f>K10+C10+I10+E10+G10</f>
        <v>72629.819999999992</v>
      </c>
      <c r="M10" s="23">
        <f>3131</f>
        <v>3131</v>
      </c>
      <c r="N10" s="11">
        <f>2133.16</f>
        <v>2133.16</v>
      </c>
      <c r="O10" s="11">
        <v>0</v>
      </c>
      <c r="P10" s="11">
        <v>0</v>
      </c>
      <c r="Q10" s="10">
        <v>0</v>
      </c>
      <c r="R10" s="11">
        <v>0</v>
      </c>
      <c r="S10" s="10">
        <v>0</v>
      </c>
      <c r="T10" s="11">
        <v>0</v>
      </c>
      <c r="U10" s="10">
        <f>2496</f>
        <v>2496</v>
      </c>
      <c r="V10" s="11">
        <f>8262.47+30437.47</f>
        <v>38699.94</v>
      </c>
      <c r="W10" s="144">
        <f>V10+N10+T10+P10+R10</f>
        <v>40833.100000000006</v>
      </c>
      <c r="X10" s="153">
        <f t="shared" si="0"/>
        <v>0.67102443206172313</v>
      </c>
      <c r="Y10" s="154">
        <f t="shared" si="0"/>
        <v>0.6854979690472518</v>
      </c>
      <c r="Z10" s="154"/>
      <c r="AA10" s="154"/>
      <c r="AB10" s="154"/>
      <c r="AC10" s="154"/>
      <c r="AD10" s="154"/>
      <c r="AE10" s="154"/>
      <c r="AF10" s="154">
        <f t="shared" si="1"/>
        <v>0.48617062719127385</v>
      </c>
      <c r="AG10" s="154">
        <f t="shared" si="1"/>
        <v>0.55668965064865239</v>
      </c>
      <c r="AH10" s="155">
        <f t="shared" si="1"/>
        <v>0.56220847029498366</v>
      </c>
      <c r="AQ10" s="13"/>
    </row>
    <row r="11" spans="1:43" ht="32.25" customHeight="1" outlineLevel="1" x14ac:dyDescent="0.2">
      <c r="A11" s="96" t="s">
        <v>14</v>
      </c>
      <c r="B11" s="118">
        <v>4756</v>
      </c>
      <c r="C11" s="11">
        <v>12318.4</v>
      </c>
      <c r="D11" s="11"/>
      <c r="E11" s="11"/>
      <c r="F11" s="10"/>
      <c r="G11" s="11"/>
      <c r="H11" s="10"/>
      <c r="I11" s="11"/>
      <c r="J11" s="10"/>
      <c r="K11" s="11"/>
      <c r="L11" s="119">
        <f>K11+C11+I11+E11+G11</f>
        <v>12318.4</v>
      </c>
      <c r="M11" s="23">
        <f>1223</f>
        <v>1223</v>
      </c>
      <c r="N11" s="11">
        <f>3222.5</f>
        <v>3222.5</v>
      </c>
      <c r="O11" s="11">
        <v>0</v>
      </c>
      <c r="P11" s="11">
        <v>0</v>
      </c>
      <c r="Q11" s="10">
        <v>0</v>
      </c>
      <c r="R11" s="11">
        <v>0</v>
      </c>
      <c r="S11" s="10">
        <v>0</v>
      </c>
      <c r="T11" s="11">
        <v>0</v>
      </c>
      <c r="U11" s="10">
        <v>0</v>
      </c>
      <c r="V11" s="11">
        <v>0</v>
      </c>
      <c r="W11" s="144">
        <f>V11+N11+T11+P11+R11</f>
        <v>3222.5</v>
      </c>
      <c r="X11" s="153">
        <f t="shared" si="0"/>
        <v>0.25714886459209418</v>
      </c>
      <c r="Y11" s="154">
        <f t="shared" si="0"/>
        <v>0.26160053253669308</v>
      </c>
      <c r="Z11" s="154"/>
      <c r="AA11" s="154"/>
      <c r="AB11" s="154"/>
      <c r="AC11" s="154"/>
      <c r="AD11" s="154"/>
      <c r="AE11" s="154"/>
      <c r="AF11" s="154">
        <f t="shared" si="1"/>
        <v>0</v>
      </c>
      <c r="AG11" s="154">
        <f t="shared" si="1"/>
        <v>0</v>
      </c>
      <c r="AH11" s="155">
        <f t="shared" si="1"/>
        <v>0.26160053253669308</v>
      </c>
      <c r="AQ11" s="13"/>
    </row>
    <row r="12" spans="1:43" ht="15" customHeight="1" outlineLevel="1" x14ac:dyDescent="0.2">
      <c r="A12" s="97" t="s">
        <v>49</v>
      </c>
      <c r="B12" s="118"/>
      <c r="C12" s="11"/>
      <c r="D12" s="11"/>
      <c r="E12" s="11"/>
      <c r="F12" s="10"/>
      <c r="G12" s="11"/>
      <c r="H12" s="10"/>
      <c r="I12" s="11"/>
      <c r="J12" s="10"/>
      <c r="K12" s="11">
        <v>1004.7</v>
      </c>
      <c r="L12" s="119">
        <f>K12+C12+I12+E12+G12</f>
        <v>1004.7</v>
      </c>
      <c r="M12" s="23">
        <v>0</v>
      </c>
      <c r="N12" s="11">
        <v>0</v>
      </c>
      <c r="O12" s="11">
        <v>0</v>
      </c>
      <c r="P12" s="11">
        <v>0</v>
      </c>
      <c r="Q12" s="10">
        <v>0</v>
      </c>
      <c r="R12" s="11">
        <v>0</v>
      </c>
      <c r="S12" s="10">
        <v>0</v>
      </c>
      <c r="T12" s="11">
        <v>0</v>
      </c>
      <c r="U12" s="10">
        <v>0</v>
      </c>
      <c r="V12" s="11">
        <v>0</v>
      </c>
      <c r="W12" s="144">
        <f>V12+N12+T12+P12+R12</f>
        <v>0</v>
      </c>
      <c r="X12" s="153"/>
      <c r="Y12" s="154"/>
      <c r="Z12" s="154"/>
      <c r="AA12" s="154"/>
      <c r="AB12" s="154"/>
      <c r="AC12" s="154"/>
      <c r="AD12" s="154"/>
      <c r="AE12" s="154"/>
      <c r="AF12" s="154">
        <f t="shared" si="1"/>
        <v>0</v>
      </c>
      <c r="AG12" s="154">
        <f t="shared" si="1"/>
        <v>0</v>
      </c>
      <c r="AH12" s="155">
        <f t="shared" si="1"/>
        <v>0</v>
      </c>
      <c r="AQ12" s="13"/>
    </row>
    <row r="13" spans="1:43" ht="18.75" hidden="1" customHeight="1" outlineLevel="1" thickBot="1" x14ac:dyDescent="0.25">
      <c r="A13" s="98" t="s">
        <v>15</v>
      </c>
      <c r="B13" s="120">
        <f t="shared" ref="B13:K13" si="2">SUM(B9:B12)</f>
        <v>39716</v>
      </c>
      <c r="C13" s="95">
        <f t="shared" si="2"/>
        <v>33850.18</v>
      </c>
      <c r="D13" s="94">
        <f t="shared" si="2"/>
        <v>0</v>
      </c>
      <c r="E13" s="95">
        <f t="shared" si="2"/>
        <v>0</v>
      </c>
      <c r="F13" s="94">
        <f t="shared" si="2"/>
        <v>0</v>
      </c>
      <c r="G13" s="95">
        <f t="shared" si="2"/>
        <v>0</v>
      </c>
      <c r="H13" s="94">
        <f t="shared" si="2"/>
        <v>5175</v>
      </c>
      <c r="I13" s="95">
        <f t="shared" si="2"/>
        <v>10399.799999999999</v>
      </c>
      <c r="J13" s="94">
        <f t="shared" si="2"/>
        <v>12119</v>
      </c>
      <c r="K13" s="95">
        <f t="shared" si="2"/>
        <v>170118.52000000002</v>
      </c>
      <c r="L13" s="80">
        <f t="shared" ref="L13" si="3">SUM(L9:L12)</f>
        <v>214368.5</v>
      </c>
      <c r="M13" s="112">
        <f t="shared" ref="M13:V13" si="4">SUM(M9:M12)</f>
        <v>26891</v>
      </c>
      <c r="N13" s="95">
        <f t="shared" si="4"/>
        <v>19182.05</v>
      </c>
      <c r="O13" s="94">
        <f t="shared" si="4"/>
        <v>0</v>
      </c>
      <c r="P13" s="95">
        <f t="shared" si="4"/>
        <v>0</v>
      </c>
      <c r="Q13" s="94">
        <f t="shared" si="4"/>
        <v>0</v>
      </c>
      <c r="R13" s="95">
        <f t="shared" si="4"/>
        <v>0</v>
      </c>
      <c r="S13" s="94">
        <f t="shared" si="4"/>
        <v>2361</v>
      </c>
      <c r="T13" s="95">
        <f t="shared" si="4"/>
        <v>4744.6899999999996</v>
      </c>
      <c r="U13" s="94">
        <f t="shared" si="4"/>
        <v>6144</v>
      </c>
      <c r="V13" s="95">
        <f t="shared" si="4"/>
        <v>58097.700000000004</v>
      </c>
      <c r="W13" s="145">
        <f t="shared" ref="W13" si="5">SUM(W9:W12)</f>
        <v>82024.44</v>
      </c>
      <c r="X13" s="156">
        <f t="shared" si="0"/>
        <v>0.67708228421794747</v>
      </c>
      <c r="Y13" s="157">
        <f t="shared" si="0"/>
        <v>0.56667497779923182</v>
      </c>
      <c r="Z13" s="157">
        <f t="shared" ref="Z13:Z30" si="6">IFERROR(O13/D13,0)</f>
        <v>0</v>
      </c>
      <c r="AA13" s="157">
        <f t="shared" ref="AA13:AA30" si="7">IFERROR(P13/E13,0)</f>
        <v>0</v>
      </c>
      <c r="AB13" s="157">
        <f t="shared" ref="AB13:AB30" si="8">IFERROR(Q13/F13,0)</f>
        <v>0</v>
      </c>
      <c r="AC13" s="157">
        <f t="shared" ref="AC13:AC30" si="9">IFERROR(R13/G13,0)</f>
        <v>0</v>
      </c>
      <c r="AD13" s="157">
        <f t="shared" si="1"/>
        <v>0.45623188405797099</v>
      </c>
      <c r="AE13" s="157">
        <f t="shared" si="1"/>
        <v>0.45622896594165274</v>
      </c>
      <c r="AF13" s="157">
        <f t="shared" si="1"/>
        <v>0.50697252248535363</v>
      </c>
      <c r="AG13" s="157">
        <f t="shared" si="1"/>
        <v>0.34151308158570859</v>
      </c>
      <c r="AH13" s="158">
        <f t="shared" si="1"/>
        <v>0.3826328961577844</v>
      </c>
      <c r="AQ13" s="13"/>
    </row>
    <row r="14" spans="1:43" ht="18.75" customHeight="1" outlineLevel="1" x14ac:dyDescent="0.2">
      <c r="A14" s="99" t="s">
        <v>16</v>
      </c>
      <c r="B14" s="121">
        <v>134152</v>
      </c>
      <c r="C14" s="21">
        <v>77765.22</v>
      </c>
      <c r="D14" s="20">
        <v>19164</v>
      </c>
      <c r="E14" s="21">
        <v>118890.55</v>
      </c>
      <c r="F14" s="20">
        <v>255</v>
      </c>
      <c r="G14" s="21">
        <v>5357.16</v>
      </c>
      <c r="H14" s="20">
        <v>8668</v>
      </c>
      <c r="I14" s="21">
        <v>17419.300000000003</v>
      </c>
      <c r="J14" s="20">
        <v>40093</v>
      </c>
      <c r="K14" s="21">
        <v>121268.34</v>
      </c>
      <c r="L14" s="122">
        <f t="shared" ref="L14:L19" si="10">K14+C14+I14+E14+G14</f>
        <v>340700.56999999995</v>
      </c>
      <c r="M14" s="20">
        <f>92482</f>
        <v>92482</v>
      </c>
      <c r="N14" s="21">
        <v>122807.4</v>
      </c>
      <c r="O14" s="20">
        <v>7958</v>
      </c>
      <c r="P14" s="21">
        <v>47432.480000000003</v>
      </c>
      <c r="Q14" s="20">
        <v>155</v>
      </c>
      <c r="R14" s="21">
        <v>3105.56</v>
      </c>
      <c r="S14" s="20">
        <f>8804</f>
        <v>8804</v>
      </c>
      <c r="T14" s="21">
        <f>15149.88</f>
        <v>15149.88</v>
      </c>
      <c r="U14" s="20">
        <f>11920</f>
        <v>11920</v>
      </c>
      <c r="V14" s="21">
        <f>46091.94+480.37</f>
        <v>46572.310000000005</v>
      </c>
      <c r="W14" s="143">
        <f t="shared" ref="W14:W19" si="11">V14+N14+T14+P14+R14</f>
        <v>235067.63</v>
      </c>
      <c r="X14" s="150">
        <f t="shared" si="0"/>
        <v>0.68938219333293582</v>
      </c>
      <c r="Y14" s="159">
        <f t="shared" si="0"/>
        <v>1.5792072600064655</v>
      </c>
      <c r="Z14" s="159">
        <f t="shared" si="6"/>
        <v>0.41525777499478189</v>
      </c>
      <c r="AA14" s="159">
        <f t="shared" si="7"/>
        <v>0.39895921080355001</v>
      </c>
      <c r="AB14" s="159">
        <f t="shared" si="8"/>
        <v>0.60784313725490191</v>
      </c>
      <c r="AC14" s="159">
        <f t="shared" si="9"/>
        <v>0.57970267828476285</v>
      </c>
      <c r="AD14" s="159">
        <f t="shared" si="1"/>
        <v>1.0156898938624828</v>
      </c>
      <c r="AE14" s="159">
        <f t="shared" si="1"/>
        <v>0.86971807133466883</v>
      </c>
      <c r="AF14" s="159">
        <f t="shared" si="1"/>
        <v>0.29730875713965033</v>
      </c>
      <c r="AG14" s="159">
        <f t="shared" si="1"/>
        <v>0.38404343623405751</v>
      </c>
      <c r="AH14" s="160">
        <f t="shared" si="1"/>
        <v>0.68995373268674032</v>
      </c>
      <c r="AQ14" s="13"/>
    </row>
    <row r="15" spans="1:43" ht="18.75" customHeight="1" outlineLevel="1" x14ac:dyDescent="0.2">
      <c r="A15" s="99" t="s">
        <v>17</v>
      </c>
      <c r="B15" s="121">
        <v>11768</v>
      </c>
      <c r="C15" s="21">
        <v>8801.77</v>
      </c>
      <c r="D15" s="20"/>
      <c r="E15" s="21"/>
      <c r="F15" s="23"/>
      <c r="G15" s="21"/>
      <c r="H15" s="20">
        <v>451</v>
      </c>
      <c r="I15" s="21">
        <v>906.3</v>
      </c>
      <c r="J15" s="20">
        <v>10192</v>
      </c>
      <c r="K15" s="21">
        <v>39904.31</v>
      </c>
      <c r="L15" s="122">
        <f t="shared" si="10"/>
        <v>49612.380000000005</v>
      </c>
      <c r="M15" s="20">
        <f>17281</f>
        <v>17281</v>
      </c>
      <c r="N15" s="21">
        <v>12929.14</v>
      </c>
      <c r="O15" s="20">
        <v>0</v>
      </c>
      <c r="P15" s="21">
        <v>0</v>
      </c>
      <c r="Q15" s="23">
        <v>0</v>
      </c>
      <c r="R15" s="21">
        <v>0</v>
      </c>
      <c r="S15" s="20">
        <f>603</f>
        <v>603</v>
      </c>
      <c r="T15" s="21">
        <v>1211.79</v>
      </c>
      <c r="U15" s="20">
        <f>2077</f>
        <v>2077</v>
      </c>
      <c r="V15" s="21">
        <f>7896.79+699.98</f>
        <v>8596.77</v>
      </c>
      <c r="W15" s="143">
        <f t="shared" si="11"/>
        <v>22737.7</v>
      </c>
      <c r="X15" s="150">
        <f t="shared" si="0"/>
        <v>1.468473827328348</v>
      </c>
      <c r="Y15" s="159">
        <f t="shared" si="0"/>
        <v>1.468925000312437</v>
      </c>
      <c r="Z15" s="159">
        <f t="shared" si="6"/>
        <v>0</v>
      </c>
      <c r="AA15" s="159">
        <f t="shared" si="7"/>
        <v>0</v>
      </c>
      <c r="AB15" s="161">
        <f t="shared" si="8"/>
        <v>0</v>
      </c>
      <c r="AC15" s="159">
        <f t="shared" si="9"/>
        <v>0</v>
      </c>
      <c r="AD15" s="159">
        <f t="shared" si="1"/>
        <v>1.3370288248337028</v>
      </c>
      <c r="AE15" s="159">
        <f t="shared" si="1"/>
        <v>1.3370738166170142</v>
      </c>
      <c r="AF15" s="159">
        <f t="shared" si="1"/>
        <v>0.20378728414442701</v>
      </c>
      <c r="AG15" s="159">
        <f t="shared" si="1"/>
        <v>0.21543462347801531</v>
      </c>
      <c r="AH15" s="160">
        <f t="shared" si="1"/>
        <v>0.4583069790241871</v>
      </c>
      <c r="AQ15" s="13"/>
    </row>
    <row r="16" spans="1:43" ht="18.75" customHeight="1" outlineLevel="1" x14ac:dyDescent="0.2">
      <c r="A16" s="100" t="s">
        <v>18</v>
      </c>
      <c r="B16" s="118">
        <v>9318</v>
      </c>
      <c r="C16" s="25">
        <v>8294.9499999999989</v>
      </c>
      <c r="D16" s="23">
        <v>270</v>
      </c>
      <c r="E16" s="25">
        <v>939.66</v>
      </c>
      <c r="F16" s="23">
        <v>761</v>
      </c>
      <c r="G16" s="25">
        <v>4587.28</v>
      </c>
      <c r="H16" s="23">
        <v>1402</v>
      </c>
      <c r="I16" s="25">
        <v>2710.4</v>
      </c>
      <c r="J16" s="23">
        <v>5894</v>
      </c>
      <c r="K16" s="25">
        <v>17875.310000000001</v>
      </c>
      <c r="L16" s="122">
        <f t="shared" si="10"/>
        <v>34407.600000000006</v>
      </c>
      <c r="M16" s="23">
        <f>7404+1391</f>
        <v>8795</v>
      </c>
      <c r="N16" s="25">
        <f>10138.03+2336.88</f>
        <v>12474.91</v>
      </c>
      <c r="O16" s="23">
        <v>122</v>
      </c>
      <c r="P16" s="25">
        <v>441.49</v>
      </c>
      <c r="Q16" s="23">
        <v>324</v>
      </c>
      <c r="R16" s="25">
        <v>1973.66</v>
      </c>
      <c r="S16" s="23">
        <f>472+151</f>
        <v>623</v>
      </c>
      <c r="T16" s="25">
        <f>900.53+253.68</f>
        <v>1154.21</v>
      </c>
      <c r="U16" s="23">
        <f>2064+433</f>
        <v>2497</v>
      </c>
      <c r="V16" s="25">
        <f>8589.12+2107.84</f>
        <v>10696.960000000001</v>
      </c>
      <c r="W16" s="143">
        <f t="shared" si="11"/>
        <v>26741.230000000003</v>
      </c>
      <c r="X16" s="153">
        <f t="shared" si="0"/>
        <v>0.9438720755526937</v>
      </c>
      <c r="Y16" s="161">
        <f t="shared" si="0"/>
        <v>1.5039162381931177</v>
      </c>
      <c r="Z16" s="161">
        <f t="shared" si="6"/>
        <v>0.45185185185185184</v>
      </c>
      <c r="AA16" s="161">
        <f t="shared" si="7"/>
        <v>0.46984015494966269</v>
      </c>
      <c r="AB16" s="161">
        <f t="shared" si="8"/>
        <v>0.42575558475689884</v>
      </c>
      <c r="AC16" s="161">
        <f t="shared" si="9"/>
        <v>0.43024624614150436</v>
      </c>
      <c r="AD16" s="161">
        <f t="shared" si="1"/>
        <v>0.44436519258202567</v>
      </c>
      <c r="AE16" s="161">
        <f t="shared" si="1"/>
        <v>0.42584489374262102</v>
      </c>
      <c r="AF16" s="161">
        <f t="shared" si="1"/>
        <v>0.42365117068204955</v>
      </c>
      <c r="AG16" s="161">
        <f t="shared" si="1"/>
        <v>0.59842095046183819</v>
      </c>
      <c r="AH16" s="162">
        <f t="shared" si="1"/>
        <v>0.77718963252304718</v>
      </c>
      <c r="AQ16" s="13"/>
    </row>
    <row r="17" spans="1:43" ht="18.75" customHeight="1" outlineLevel="1" x14ac:dyDescent="0.2">
      <c r="A17" s="100" t="s">
        <v>19</v>
      </c>
      <c r="B17" s="118">
        <v>43477</v>
      </c>
      <c r="C17" s="25">
        <v>32663.370000000003</v>
      </c>
      <c r="D17" s="23">
        <v>6048</v>
      </c>
      <c r="E17" s="25">
        <v>21048.3</v>
      </c>
      <c r="F17" s="23">
        <v>17035</v>
      </c>
      <c r="G17" s="25">
        <v>102686.32</v>
      </c>
      <c r="H17" s="23">
        <v>25651</v>
      </c>
      <c r="I17" s="25">
        <v>51548.5</v>
      </c>
      <c r="J17" s="23">
        <v>64808</v>
      </c>
      <c r="K17" s="25">
        <v>242126.53999999998</v>
      </c>
      <c r="L17" s="122">
        <f t="shared" si="10"/>
        <v>450073.02999999997</v>
      </c>
      <c r="M17" s="23">
        <f>80047</f>
        <v>80047</v>
      </c>
      <c r="N17" s="25">
        <f>169339.85</f>
        <v>169339.85</v>
      </c>
      <c r="O17" s="23">
        <v>711</v>
      </c>
      <c r="P17" s="25">
        <v>2916.29</v>
      </c>
      <c r="Q17" s="23">
        <v>2232</v>
      </c>
      <c r="R17" s="25">
        <v>15560.88</v>
      </c>
      <c r="S17" s="23">
        <f>15948</f>
        <v>15948</v>
      </c>
      <c r="T17" s="25">
        <v>33099.97</v>
      </c>
      <c r="U17" s="23">
        <f>17025</f>
        <v>17025</v>
      </c>
      <c r="V17" s="25">
        <f>103587.23+5242.82</f>
        <v>108830.04999999999</v>
      </c>
      <c r="W17" s="143">
        <f t="shared" si="11"/>
        <v>329747.03999999998</v>
      </c>
      <c r="X17" s="153">
        <f t="shared" si="0"/>
        <v>1.841134392897394</v>
      </c>
      <c r="Y17" s="161">
        <f t="shared" si="0"/>
        <v>5.1843961599798183</v>
      </c>
      <c r="Z17" s="161">
        <f t="shared" si="6"/>
        <v>0.11755952380952381</v>
      </c>
      <c r="AA17" s="161">
        <f t="shared" si="7"/>
        <v>0.13855228213204868</v>
      </c>
      <c r="AB17" s="161">
        <f t="shared" si="8"/>
        <v>0.13102436160845318</v>
      </c>
      <c r="AC17" s="161">
        <f t="shared" si="9"/>
        <v>0.15153800428333589</v>
      </c>
      <c r="AD17" s="161">
        <f t="shared" si="1"/>
        <v>0.62173014697282758</v>
      </c>
      <c r="AE17" s="161">
        <f t="shared" si="1"/>
        <v>0.64211315557193716</v>
      </c>
      <c r="AF17" s="161">
        <f t="shared" si="1"/>
        <v>0.26269904950006173</v>
      </c>
      <c r="AG17" s="161">
        <f t="shared" si="1"/>
        <v>0.44947592279640225</v>
      </c>
      <c r="AH17" s="162">
        <f t="shared" si="1"/>
        <v>0.73265229867250659</v>
      </c>
      <c r="AQ17" s="13"/>
    </row>
    <row r="18" spans="1:43" ht="18.75" customHeight="1" outlineLevel="1" x14ac:dyDescent="0.2">
      <c r="A18" s="100" t="s">
        <v>20</v>
      </c>
      <c r="B18" s="118">
        <v>24800</v>
      </c>
      <c r="C18" s="25">
        <v>41664</v>
      </c>
      <c r="D18" s="25"/>
      <c r="E18" s="25"/>
      <c r="F18" s="23"/>
      <c r="G18" s="25"/>
      <c r="H18" s="23">
        <v>8696</v>
      </c>
      <c r="I18" s="25">
        <v>14609.2</v>
      </c>
      <c r="J18" s="23">
        <v>30632</v>
      </c>
      <c r="K18" s="25">
        <v>149239.20000000001</v>
      </c>
      <c r="L18" s="122">
        <f t="shared" si="10"/>
        <v>205512.40000000002</v>
      </c>
      <c r="M18" s="23">
        <v>16768</v>
      </c>
      <c r="N18" s="25">
        <v>28170.240000000002</v>
      </c>
      <c r="O18" s="25">
        <v>0</v>
      </c>
      <c r="P18" s="25">
        <v>0</v>
      </c>
      <c r="Q18" s="23">
        <v>0</v>
      </c>
      <c r="R18" s="25">
        <v>0</v>
      </c>
      <c r="S18" s="23">
        <v>5880</v>
      </c>
      <c r="T18" s="25">
        <v>9878.4</v>
      </c>
      <c r="U18" s="23">
        <v>20711</v>
      </c>
      <c r="V18" s="25">
        <v>100904.39</v>
      </c>
      <c r="W18" s="143">
        <f t="shared" si="11"/>
        <v>138953.03</v>
      </c>
      <c r="X18" s="153">
        <f t="shared" si="0"/>
        <v>0.67612903225806453</v>
      </c>
      <c r="Y18" s="161">
        <f t="shared" si="0"/>
        <v>0.67612903225806453</v>
      </c>
      <c r="Z18" s="161"/>
      <c r="AA18" s="161"/>
      <c r="AB18" s="161"/>
      <c r="AC18" s="161"/>
      <c r="AD18" s="161">
        <f t="shared" si="1"/>
        <v>0.67617295308187675</v>
      </c>
      <c r="AE18" s="161">
        <f t="shared" si="1"/>
        <v>0.67617665580593045</v>
      </c>
      <c r="AF18" s="161">
        <f t="shared" si="1"/>
        <v>0.67612300861843821</v>
      </c>
      <c r="AG18" s="161">
        <f t="shared" si="1"/>
        <v>0.67612524055342027</v>
      </c>
      <c r="AH18" s="162">
        <f t="shared" si="1"/>
        <v>0.67612966419544507</v>
      </c>
      <c r="AQ18" s="13"/>
    </row>
    <row r="19" spans="1:43" ht="18.75" hidden="1" customHeight="1" outlineLevel="1" x14ac:dyDescent="0.2">
      <c r="A19" s="101" t="s">
        <v>21</v>
      </c>
      <c r="B19" s="123"/>
      <c r="C19" s="28">
        <v>0</v>
      </c>
      <c r="D19" s="28"/>
      <c r="E19" s="28"/>
      <c r="F19" s="27"/>
      <c r="G19" s="28"/>
      <c r="H19" s="27"/>
      <c r="I19" s="28">
        <v>0</v>
      </c>
      <c r="J19" s="27"/>
      <c r="K19" s="28"/>
      <c r="L19" s="122">
        <f t="shared" si="10"/>
        <v>0</v>
      </c>
      <c r="M19" s="27"/>
      <c r="N19" s="28"/>
      <c r="O19" s="28">
        <v>0</v>
      </c>
      <c r="P19" s="28">
        <v>0</v>
      </c>
      <c r="Q19" s="27">
        <v>0</v>
      </c>
      <c r="R19" s="28">
        <v>0</v>
      </c>
      <c r="S19" s="27"/>
      <c r="T19" s="28"/>
      <c r="U19" s="27"/>
      <c r="V19" s="28"/>
      <c r="W19" s="143">
        <f t="shared" si="11"/>
        <v>0</v>
      </c>
      <c r="X19" s="163">
        <f t="shared" si="0"/>
        <v>0</v>
      </c>
      <c r="Y19" s="164">
        <f t="shared" si="0"/>
        <v>0</v>
      </c>
      <c r="Z19" s="164"/>
      <c r="AA19" s="164"/>
      <c r="AB19" s="164"/>
      <c r="AC19" s="164"/>
      <c r="AD19" s="164">
        <f t="shared" si="1"/>
        <v>0</v>
      </c>
      <c r="AE19" s="164">
        <f t="shared" si="1"/>
        <v>0</v>
      </c>
      <c r="AF19" s="164">
        <f t="shared" si="1"/>
        <v>0</v>
      </c>
      <c r="AG19" s="164">
        <f t="shared" si="1"/>
        <v>0</v>
      </c>
      <c r="AH19" s="165">
        <f t="shared" si="1"/>
        <v>0</v>
      </c>
      <c r="AQ19" s="13"/>
    </row>
    <row r="20" spans="1:43" ht="18.75" hidden="1" customHeight="1" outlineLevel="1" thickBot="1" x14ac:dyDescent="0.25">
      <c r="A20" s="90" t="s">
        <v>22</v>
      </c>
      <c r="B20" s="124">
        <f t="shared" ref="B20:L20" si="12">SUM(B14:B19)</f>
        <v>223515</v>
      </c>
      <c r="C20" s="69">
        <f t="shared" si="12"/>
        <v>169189.31</v>
      </c>
      <c r="D20" s="68">
        <f t="shared" si="12"/>
        <v>25482</v>
      </c>
      <c r="E20" s="69">
        <f t="shared" si="12"/>
        <v>140878.51</v>
      </c>
      <c r="F20" s="68">
        <f t="shared" si="12"/>
        <v>18051</v>
      </c>
      <c r="G20" s="69">
        <f t="shared" si="12"/>
        <v>112630.76000000001</v>
      </c>
      <c r="H20" s="68">
        <f t="shared" si="12"/>
        <v>44868</v>
      </c>
      <c r="I20" s="69">
        <f t="shared" si="12"/>
        <v>87193.7</v>
      </c>
      <c r="J20" s="68">
        <f t="shared" si="12"/>
        <v>151619</v>
      </c>
      <c r="K20" s="69">
        <f t="shared" si="12"/>
        <v>570413.69999999995</v>
      </c>
      <c r="L20" s="71">
        <f t="shared" si="12"/>
        <v>1080305.98</v>
      </c>
      <c r="M20" s="73">
        <f t="shared" ref="M20:W20" si="13">SUM(M14:M19)</f>
        <v>215373</v>
      </c>
      <c r="N20" s="69">
        <f t="shared" si="13"/>
        <v>345721.54</v>
      </c>
      <c r="O20" s="68">
        <f t="shared" si="13"/>
        <v>8791</v>
      </c>
      <c r="P20" s="69">
        <f t="shared" si="13"/>
        <v>50790.26</v>
      </c>
      <c r="Q20" s="68">
        <f t="shared" si="13"/>
        <v>2711</v>
      </c>
      <c r="R20" s="69">
        <f t="shared" si="13"/>
        <v>20640.099999999999</v>
      </c>
      <c r="S20" s="68">
        <f t="shared" si="13"/>
        <v>31858</v>
      </c>
      <c r="T20" s="69">
        <f t="shared" si="13"/>
        <v>60494.25</v>
      </c>
      <c r="U20" s="68">
        <f t="shared" si="13"/>
        <v>54230</v>
      </c>
      <c r="V20" s="69">
        <f t="shared" si="13"/>
        <v>275600.48</v>
      </c>
      <c r="W20" s="146">
        <f t="shared" si="13"/>
        <v>753246.63</v>
      </c>
      <c r="X20" s="166">
        <f t="shared" si="0"/>
        <v>0.96357291456949201</v>
      </c>
      <c r="Y20" s="167">
        <f t="shared" si="0"/>
        <v>2.0434006143768775</v>
      </c>
      <c r="Z20" s="167">
        <f t="shared" si="6"/>
        <v>0.34498861941762815</v>
      </c>
      <c r="AA20" s="167">
        <f t="shared" si="7"/>
        <v>0.36052524973468275</v>
      </c>
      <c r="AB20" s="167">
        <f t="shared" si="8"/>
        <v>0.15018558528613374</v>
      </c>
      <c r="AC20" s="167">
        <f t="shared" si="9"/>
        <v>0.1832545567480855</v>
      </c>
      <c r="AD20" s="167">
        <f t="shared" si="1"/>
        <v>0.7100383346705893</v>
      </c>
      <c r="AE20" s="167">
        <f t="shared" si="1"/>
        <v>0.69379152392890775</v>
      </c>
      <c r="AF20" s="167">
        <f t="shared" si="1"/>
        <v>0.35767285102790547</v>
      </c>
      <c r="AG20" s="167">
        <f t="shared" si="1"/>
        <v>0.48315894236060603</v>
      </c>
      <c r="AH20" s="168">
        <f t="shared" si="1"/>
        <v>0.69725304121708187</v>
      </c>
    </row>
    <row r="21" spans="1:43" ht="18.75" customHeight="1" outlineLevel="1" x14ac:dyDescent="0.2">
      <c r="A21" s="102" t="s">
        <v>23</v>
      </c>
      <c r="B21" s="121">
        <v>12298</v>
      </c>
      <c r="C21" s="32">
        <v>12448.899999999998</v>
      </c>
      <c r="D21" s="31">
        <v>2318</v>
      </c>
      <c r="E21" s="32">
        <v>12904.300000000001</v>
      </c>
      <c r="F21" s="31">
        <v>1658</v>
      </c>
      <c r="G21" s="32">
        <v>11986.759999999998</v>
      </c>
      <c r="H21" s="31">
        <v>4730</v>
      </c>
      <c r="I21" s="32">
        <v>10458.959999999999</v>
      </c>
      <c r="J21" s="31">
        <v>14987</v>
      </c>
      <c r="K21" s="32">
        <v>61821.54</v>
      </c>
      <c r="L21" s="122">
        <f t="shared" ref="L21:L28" si="14">K21+C21+I21+E21+G21</f>
        <v>109620.45999999999</v>
      </c>
      <c r="M21" s="20">
        <f>11019+1433</f>
        <v>12452</v>
      </c>
      <c r="N21" s="32">
        <f>20255.25+1487.45+2407.44</f>
        <v>24150.14</v>
      </c>
      <c r="O21" s="31">
        <v>915</v>
      </c>
      <c r="P21" s="32">
        <v>7594.5</v>
      </c>
      <c r="Q21" s="31">
        <v>456</v>
      </c>
      <c r="R21" s="32">
        <v>4741.76</v>
      </c>
      <c r="S21" s="31">
        <f>1926+272</f>
        <v>2198</v>
      </c>
      <c r="T21" s="32">
        <f>3564.41+809.6+456.96</f>
        <v>4830.97</v>
      </c>
      <c r="U21" s="31">
        <f>6007+38</f>
        <v>6045</v>
      </c>
      <c r="V21" s="32">
        <f>32080.13+6053.9+183.42</f>
        <v>38317.449999999997</v>
      </c>
      <c r="W21" s="143">
        <f t="shared" ref="W21:W28" si="15">V21+N21+T21+P21+R21</f>
        <v>79634.819999999992</v>
      </c>
      <c r="X21" s="150">
        <f t="shared" si="0"/>
        <v>1.0125223613595706</v>
      </c>
      <c r="Y21" s="151">
        <f t="shared" si="0"/>
        <v>1.939941681594358</v>
      </c>
      <c r="Z21" s="151">
        <f t="shared" si="6"/>
        <v>0.39473684210526316</v>
      </c>
      <c r="AA21" s="151">
        <f t="shared" si="7"/>
        <v>0.58852475531412007</v>
      </c>
      <c r="AB21" s="151">
        <f t="shared" si="8"/>
        <v>0.2750301568154403</v>
      </c>
      <c r="AC21" s="151">
        <f t="shared" si="9"/>
        <v>0.39558312671647727</v>
      </c>
      <c r="AD21" s="151">
        <f t="shared" si="1"/>
        <v>0.46469344608879493</v>
      </c>
      <c r="AE21" s="151">
        <f t="shared" si="1"/>
        <v>0.46189774126681815</v>
      </c>
      <c r="AF21" s="151">
        <f t="shared" si="1"/>
        <v>0.40334956962701007</v>
      </c>
      <c r="AG21" s="151">
        <f t="shared" si="1"/>
        <v>0.6198074328138703</v>
      </c>
      <c r="AH21" s="152">
        <f t="shared" si="1"/>
        <v>0.72645945838942838</v>
      </c>
      <c r="AQ21" s="13"/>
    </row>
    <row r="22" spans="1:43" ht="18.75" customHeight="1" outlineLevel="1" x14ac:dyDescent="0.2">
      <c r="A22" s="96" t="s">
        <v>24</v>
      </c>
      <c r="B22" s="118">
        <v>6063</v>
      </c>
      <c r="C22" s="11">
        <v>5594.23</v>
      </c>
      <c r="D22" s="10">
        <v>1337</v>
      </c>
      <c r="E22" s="11">
        <v>7409.36</v>
      </c>
      <c r="F22" s="10">
        <v>949</v>
      </c>
      <c r="G22" s="11">
        <v>6214.8899999999994</v>
      </c>
      <c r="H22" s="10">
        <v>2809</v>
      </c>
      <c r="I22" s="11">
        <v>5425.96</v>
      </c>
      <c r="J22" s="10">
        <v>8910</v>
      </c>
      <c r="K22" s="11">
        <v>38679.930000000008</v>
      </c>
      <c r="L22" s="119">
        <f t="shared" si="14"/>
        <v>63324.37</v>
      </c>
      <c r="M22" s="23">
        <f>3944+338</f>
        <v>4282</v>
      </c>
      <c r="N22" s="11">
        <f>19752.87+567.84</f>
        <v>20320.71</v>
      </c>
      <c r="O22" s="10">
        <v>610</v>
      </c>
      <c r="P22" s="11">
        <v>2855.0099999999998</v>
      </c>
      <c r="Q22" s="10">
        <v>433</v>
      </c>
      <c r="R22" s="11">
        <v>2948.01</v>
      </c>
      <c r="S22" s="10">
        <f>423+211</f>
        <v>634</v>
      </c>
      <c r="T22" s="11">
        <f>2127.86+354.48</f>
        <v>2482.34</v>
      </c>
      <c r="U22" s="10">
        <f>1231+123</f>
        <v>1354</v>
      </c>
      <c r="V22" s="11">
        <f>17965.92+598.95</f>
        <v>18564.87</v>
      </c>
      <c r="W22" s="144">
        <f t="shared" si="15"/>
        <v>47170.94</v>
      </c>
      <c r="X22" s="153">
        <f t="shared" si="0"/>
        <v>0.70625103084281704</v>
      </c>
      <c r="Y22" s="154">
        <f t="shared" si="0"/>
        <v>3.6324409257395569</v>
      </c>
      <c r="Z22" s="154">
        <f t="shared" si="6"/>
        <v>0.45624532535527301</v>
      </c>
      <c r="AA22" s="154">
        <f t="shared" si="7"/>
        <v>0.38532477838841678</v>
      </c>
      <c r="AB22" s="154">
        <f t="shared" si="8"/>
        <v>0.45626975763962063</v>
      </c>
      <c r="AC22" s="154">
        <f t="shared" si="9"/>
        <v>0.47434628770581627</v>
      </c>
      <c r="AD22" s="154">
        <f t="shared" si="1"/>
        <v>0.22570309718761125</v>
      </c>
      <c r="AE22" s="154">
        <f t="shared" si="1"/>
        <v>0.45749323621995003</v>
      </c>
      <c r="AF22" s="154">
        <f t="shared" si="1"/>
        <v>0.15196408529741864</v>
      </c>
      <c r="AG22" s="154">
        <f t="shared" si="1"/>
        <v>0.47996131327021518</v>
      </c>
      <c r="AH22" s="155">
        <f t="shared" si="1"/>
        <v>0.74490974012058864</v>
      </c>
      <c r="AQ22" s="13"/>
    </row>
    <row r="23" spans="1:43" ht="18.75" customHeight="1" outlineLevel="1" x14ac:dyDescent="0.2">
      <c r="A23" s="96" t="s">
        <v>25</v>
      </c>
      <c r="B23" s="118">
        <v>460</v>
      </c>
      <c r="C23" s="11">
        <v>1639.1999999999998</v>
      </c>
      <c r="D23" s="10">
        <v>653</v>
      </c>
      <c r="E23" s="11">
        <v>3699.77</v>
      </c>
      <c r="F23" s="10">
        <v>381</v>
      </c>
      <c r="G23" s="11">
        <v>2566.3000000000002</v>
      </c>
      <c r="H23" s="10">
        <v>52</v>
      </c>
      <c r="I23" s="11">
        <v>185.3</v>
      </c>
      <c r="J23" s="10">
        <v>628</v>
      </c>
      <c r="K23" s="11">
        <v>6489.3</v>
      </c>
      <c r="L23" s="119">
        <f t="shared" si="14"/>
        <v>14579.869999999999</v>
      </c>
      <c r="M23" s="23">
        <v>0</v>
      </c>
      <c r="N23" s="11">
        <v>1109.85059</v>
      </c>
      <c r="O23" s="10">
        <v>131</v>
      </c>
      <c r="P23" s="11">
        <v>572.80999999999995</v>
      </c>
      <c r="Q23" s="10">
        <v>121</v>
      </c>
      <c r="R23" s="11">
        <v>885.8</v>
      </c>
      <c r="S23" s="10">
        <v>0</v>
      </c>
      <c r="T23" s="11">
        <v>125.5</v>
      </c>
      <c r="U23" s="10">
        <v>0</v>
      </c>
      <c r="V23" s="11">
        <v>4393.8</v>
      </c>
      <c r="W23" s="144">
        <f t="shared" si="15"/>
        <v>7087.7605900000008</v>
      </c>
      <c r="X23" s="153">
        <f t="shared" si="0"/>
        <v>0</v>
      </c>
      <c r="Y23" s="154">
        <f t="shared" si="0"/>
        <v>0.67706844192288929</v>
      </c>
      <c r="Z23" s="154">
        <f t="shared" si="6"/>
        <v>0.20061255742725881</v>
      </c>
      <c r="AA23" s="154">
        <f t="shared" si="7"/>
        <v>0.15482313765450284</v>
      </c>
      <c r="AB23" s="154">
        <f t="shared" si="8"/>
        <v>0.31758530183727035</v>
      </c>
      <c r="AC23" s="154">
        <f t="shared" si="9"/>
        <v>0.34516619257296494</v>
      </c>
      <c r="AD23" s="154">
        <f t="shared" si="1"/>
        <v>0</v>
      </c>
      <c r="AE23" s="154">
        <f t="shared" si="1"/>
        <v>0.67728008634646519</v>
      </c>
      <c r="AF23" s="154">
        <f t="shared" si="1"/>
        <v>0</v>
      </c>
      <c r="AG23" s="154">
        <f t="shared" si="1"/>
        <v>0.67708381489528913</v>
      </c>
      <c r="AH23" s="155">
        <f t="shared" si="1"/>
        <v>0.48613331874701221</v>
      </c>
      <c r="AQ23" s="13"/>
    </row>
    <row r="24" spans="1:43" ht="18.75" customHeight="1" outlineLevel="1" x14ac:dyDescent="0.2">
      <c r="A24" s="96" t="s">
        <v>26</v>
      </c>
      <c r="B24" s="118">
        <v>3208</v>
      </c>
      <c r="C24" s="11">
        <v>4450.68</v>
      </c>
      <c r="D24" s="10">
        <v>614</v>
      </c>
      <c r="E24" s="11">
        <v>3343.42</v>
      </c>
      <c r="F24" s="10">
        <v>493</v>
      </c>
      <c r="G24" s="11">
        <v>3166.53</v>
      </c>
      <c r="H24" s="10">
        <v>1422</v>
      </c>
      <c r="I24" s="11">
        <v>3331.2599999999998</v>
      </c>
      <c r="J24" s="10">
        <v>4483</v>
      </c>
      <c r="K24" s="11">
        <v>24460.699999999997</v>
      </c>
      <c r="L24" s="119">
        <f t="shared" si="14"/>
        <v>38752.589999999997</v>
      </c>
      <c r="M24" s="23">
        <f>4881+191</f>
        <v>5072</v>
      </c>
      <c r="N24" s="11">
        <f>13788.79+699.6+320.88</f>
        <v>14809.27</v>
      </c>
      <c r="O24" s="10">
        <v>133</v>
      </c>
      <c r="P24" s="11">
        <v>396.71</v>
      </c>
      <c r="Q24" s="10">
        <v>226</v>
      </c>
      <c r="R24" s="11">
        <v>1510.2</v>
      </c>
      <c r="S24" s="10">
        <f>330</f>
        <v>330</v>
      </c>
      <c r="T24" s="11">
        <f>930.93+349.8</f>
        <v>1280.73</v>
      </c>
      <c r="U24" s="10">
        <f>1105+294</f>
        <v>1399</v>
      </c>
      <c r="V24" s="11">
        <f>8986.36+81.31+398.1+1434.55</f>
        <v>10900.32</v>
      </c>
      <c r="W24" s="144">
        <f t="shared" si="15"/>
        <v>28897.23</v>
      </c>
      <c r="X24" s="153">
        <f t="shared" si="0"/>
        <v>1.5810473815461346</v>
      </c>
      <c r="Y24" s="154">
        <f t="shared" si="0"/>
        <v>3.3274173834110741</v>
      </c>
      <c r="Z24" s="154">
        <f t="shared" si="6"/>
        <v>0.21661237785016288</v>
      </c>
      <c r="AA24" s="154">
        <f t="shared" si="7"/>
        <v>0.118653953137805</v>
      </c>
      <c r="AB24" s="154">
        <f t="shared" si="8"/>
        <v>0.45841784989858014</v>
      </c>
      <c r="AC24" s="154">
        <f t="shared" si="9"/>
        <v>0.47692584627336548</v>
      </c>
      <c r="AD24" s="154">
        <f t="shared" si="1"/>
        <v>0.2320675105485232</v>
      </c>
      <c r="AE24" s="154">
        <f t="shared" si="1"/>
        <v>0.38445813295870035</v>
      </c>
      <c r="AF24" s="154">
        <f t="shared" si="1"/>
        <v>0.31206781173321435</v>
      </c>
      <c r="AG24" s="154">
        <f t="shared" si="1"/>
        <v>0.44562584063416016</v>
      </c>
      <c r="AH24" s="155">
        <f t="shared" si="1"/>
        <v>0.74568512711021384</v>
      </c>
      <c r="AQ24" s="13"/>
    </row>
    <row r="25" spans="1:43" ht="18.75" customHeight="1" outlineLevel="1" x14ac:dyDescent="0.2">
      <c r="A25" s="96" t="s">
        <v>27</v>
      </c>
      <c r="B25" s="118">
        <v>15593</v>
      </c>
      <c r="C25" s="11">
        <v>12819.089999999998</v>
      </c>
      <c r="D25" s="10">
        <v>1888</v>
      </c>
      <c r="E25" s="11">
        <v>10416.41</v>
      </c>
      <c r="F25" s="10">
        <v>1360</v>
      </c>
      <c r="G25" s="11">
        <v>8482.65</v>
      </c>
      <c r="H25" s="10">
        <v>4070</v>
      </c>
      <c r="I25" s="11">
        <v>7717.78</v>
      </c>
      <c r="J25" s="10">
        <v>12416</v>
      </c>
      <c r="K25" s="11">
        <v>59358.829999999994</v>
      </c>
      <c r="L25" s="119">
        <f t="shared" si="14"/>
        <v>98794.76</v>
      </c>
      <c r="M25" s="23">
        <f>8713+649</f>
        <v>9362</v>
      </c>
      <c r="N25" s="11">
        <f>28359.02+1090.32</f>
        <v>29449.34</v>
      </c>
      <c r="O25" s="10">
        <v>715</v>
      </c>
      <c r="P25" s="11">
        <v>3874.55</v>
      </c>
      <c r="Q25" s="10">
        <v>750</v>
      </c>
      <c r="R25" s="11">
        <v>5811.7800000000007</v>
      </c>
      <c r="S25" s="10">
        <f>885+645</f>
        <v>1530</v>
      </c>
      <c r="T25" s="11">
        <f>2885.79+1083.6</f>
        <v>3969.39</v>
      </c>
      <c r="U25" s="10">
        <f>3218+474</f>
        <v>3692</v>
      </c>
      <c r="V25" s="11">
        <f>29688.63+2311.86</f>
        <v>32000.49</v>
      </c>
      <c r="W25" s="144">
        <f t="shared" si="15"/>
        <v>75105.55</v>
      </c>
      <c r="X25" s="153">
        <f t="shared" ref="X25:X30" si="16">IFERROR(M25/B25,0)</f>
        <v>0.60039761431411531</v>
      </c>
      <c r="Y25" s="154">
        <f t="shared" ref="Y25:Y30" si="17">IFERROR(N25/C25,0)</f>
        <v>2.297303474739627</v>
      </c>
      <c r="Z25" s="154">
        <f t="shared" si="6"/>
        <v>0.37870762711864409</v>
      </c>
      <c r="AA25" s="154">
        <f t="shared" si="7"/>
        <v>0.37196596524138359</v>
      </c>
      <c r="AB25" s="154">
        <f t="shared" si="8"/>
        <v>0.55147058823529416</v>
      </c>
      <c r="AC25" s="154">
        <f t="shared" si="9"/>
        <v>0.68513730968506315</v>
      </c>
      <c r="AD25" s="154">
        <f t="shared" ref="AD25:AD30" si="18">IFERROR(S25/H25,0)</f>
        <v>0.37592137592137592</v>
      </c>
      <c r="AE25" s="154">
        <f t="shared" ref="AE25:AE30" si="19">IFERROR(T25/I25,0)</f>
        <v>0.51431758873665745</v>
      </c>
      <c r="AF25" s="154">
        <f t="shared" ref="AF25:AF30" si="20">IFERROR(U25/J25,0)</f>
        <v>0.29735824742268041</v>
      </c>
      <c r="AG25" s="154">
        <f t="shared" ref="AG25:AG30" si="21">IFERROR(V25/K25,0)</f>
        <v>0.5391024385083063</v>
      </c>
      <c r="AH25" s="155">
        <f t="shared" ref="AH25:AH29" si="22">IFERROR(W25/L25,0)</f>
        <v>0.76021795083059063</v>
      </c>
      <c r="AQ25" s="13"/>
    </row>
    <row r="26" spans="1:43" ht="18.75" customHeight="1" outlineLevel="1" x14ac:dyDescent="0.2">
      <c r="A26" s="96" t="s">
        <v>28</v>
      </c>
      <c r="B26" s="118">
        <v>5771</v>
      </c>
      <c r="C26" s="11">
        <v>7790.9100000000008</v>
      </c>
      <c r="D26" s="10">
        <v>993</v>
      </c>
      <c r="E26" s="11">
        <v>5476.79</v>
      </c>
      <c r="F26" s="10">
        <v>728</v>
      </c>
      <c r="G26" s="11">
        <v>4687.97</v>
      </c>
      <c r="H26" s="10">
        <v>2149</v>
      </c>
      <c r="I26" s="11">
        <v>4412.8799999999992</v>
      </c>
      <c r="J26" s="10">
        <v>5386</v>
      </c>
      <c r="K26" s="11">
        <v>27373.93</v>
      </c>
      <c r="L26" s="119">
        <f t="shared" si="14"/>
        <v>49742.48</v>
      </c>
      <c r="M26" s="23">
        <f>4728+739</f>
        <v>5467</v>
      </c>
      <c r="N26" s="11">
        <f>14869.59+1066.5+1241.52</f>
        <v>17177.61</v>
      </c>
      <c r="O26" s="10">
        <v>497</v>
      </c>
      <c r="P26" s="11">
        <v>2356.7000000000003</v>
      </c>
      <c r="Q26" s="10">
        <v>407</v>
      </c>
      <c r="R26" s="11">
        <v>2454.38</v>
      </c>
      <c r="S26" s="10">
        <f>363+62</f>
        <v>425</v>
      </c>
      <c r="T26" s="11">
        <f>1193.79+89.2+104.16</f>
        <v>1387.15</v>
      </c>
      <c r="U26" s="10">
        <f>1285+132</f>
        <v>1417</v>
      </c>
      <c r="V26" s="11">
        <f>11873+1071.2+645.02</f>
        <v>13589.220000000001</v>
      </c>
      <c r="W26" s="144">
        <f t="shared" si="15"/>
        <v>36965.06</v>
      </c>
      <c r="X26" s="153">
        <f t="shared" si="16"/>
        <v>0.94732282100155951</v>
      </c>
      <c r="Y26" s="154">
        <f t="shared" si="17"/>
        <v>2.2048271639641581</v>
      </c>
      <c r="Z26" s="154">
        <f t="shared" si="6"/>
        <v>0.50050352467270898</v>
      </c>
      <c r="AA26" s="154">
        <f t="shared" si="7"/>
        <v>0.4303068038029576</v>
      </c>
      <c r="AB26" s="154">
        <f t="shared" si="8"/>
        <v>0.55906593406593408</v>
      </c>
      <c r="AC26" s="154">
        <f t="shared" si="9"/>
        <v>0.52354857219649442</v>
      </c>
      <c r="AD26" s="154">
        <f t="shared" si="18"/>
        <v>0.19776640297812936</v>
      </c>
      <c r="AE26" s="154">
        <f t="shared" si="19"/>
        <v>0.31434120121100062</v>
      </c>
      <c r="AF26" s="154">
        <f t="shared" si="20"/>
        <v>0.26308949127367248</v>
      </c>
      <c r="AG26" s="154">
        <f t="shared" si="21"/>
        <v>0.4964292668243106</v>
      </c>
      <c r="AH26" s="155">
        <f t="shared" si="22"/>
        <v>0.7431286095908366</v>
      </c>
      <c r="AQ26" s="13"/>
    </row>
    <row r="27" spans="1:43" ht="18.75" customHeight="1" outlineLevel="1" x14ac:dyDescent="0.2">
      <c r="A27" s="103" t="s">
        <v>50</v>
      </c>
      <c r="B27" s="118">
        <v>14067</v>
      </c>
      <c r="C27" s="16">
        <v>14115.3</v>
      </c>
      <c r="D27" s="15">
        <v>1793</v>
      </c>
      <c r="E27" s="16">
        <v>9876.08</v>
      </c>
      <c r="F27" s="10">
        <v>1322</v>
      </c>
      <c r="G27" s="16">
        <v>8448.34</v>
      </c>
      <c r="H27" s="10">
        <v>3901</v>
      </c>
      <c r="I27" s="16">
        <v>7996.9800000000005</v>
      </c>
      <c r="J27" s="10">
        <v>11777</v>
      </c>
      <c r="K27" s="16">
        <v>46229.80000000001</v>
      </c>
      <c r="L27" s="119">
        <f t="shared" si="14"/>
        <v>86666.5</v>
      </c>
      <c r="M27" s="23">
        <f>18274+1045</f>
        <v>19319</v>
      </c>
      <c r="N27" s="16">
        <f>29383.82+2196.7+1755.6</f>
        <v>33336.120000000003</v>
      </c>
      <c r="O27" s="15">
        <v>664</v>
      </c>
      <c r="P27" s="16">
        <v>4941.9800000000005</v>
      </c>
      <c r="Q27" s="10">
        <v>766</v>
      </c>
      <c r="R27" s="16">
        <v>5889.78</v>
      </c>
      <c r="S27" s="10">
        <f>804+637</f>
        <v>1441</v>
      </c>
      <c r="T27" s="16">
        <f>1312.15+310.5+1070.16</f>
        <v>2692.8100000000004</v>
      </c>
      <c r="U27" s="10">
        <f>2742+668</f>
        <v>3410</v>
      </c>
      <c r="V27" s="16">
        <f>12871.76+718.17+2354.9+3253.82</f>
        <v>19198.650000000001</v>
      </c>
      <c r="W27" s="144">
        <f t="shared" si="15"/>
        <v>66059.340000000011</v>
      </c>
      <c r="X27" s="163">
        <f t="shared" si="16"/>
        <v>1.3733560816094406</v>
      </c>
      <c r="Y27" s="169">
        <f t="shared" si="17"/>
        <v>2.3617011328133306</v>
      </c>
      <c r="Z27" s="169">
        <f t="shared" si="6"/>
        <v>0.37032905744562189</v>
      </c>
      <c r="AA27" s="169">
        <f t="shared" si="7"/>
        <v>0.50039894371046012</v>
      </c>
      <c r="AB27" s="154">
        <f t="shared" si="8"/>
        <v>0.57942511346444781</v>
      </c>
      <c r="AC27" s="169">
        <f t="shared" si="9"/>
        <v>0.69715233998631676</v>
      </c>
      <c r="AD27" s="169">
        <f t="shared" si="18"/>
        <v>0.36939246347090487</v>
      </c>
      <c r="AE27" s="169">
        <f t="shared" si="19"/>
        <v>0.33672836495777159</v>
      </c>
      <c r="AF27" s="169">
        <f t="shared" si="20"/>
        <v>0.28954742294302455</v>
      </c>
      <c r="AG27" s="169">
        <f t="shared" si="21"/>
        <v>0.41528732549134967</v>
      </c>
      <c r="AH27" s="170">
        <f t="shared" si="22"/>
        <v>0.76222461966273025</v>
      </c>
      <c r="AQ27" s="13"/>
    </row>
    <row r="28" spans="1:43" ht="18.75" customHeight="1" outlineLevel="1" thickBot="1" x14ac:dyDescent="0.25">
      <c r="A28" s="96" t="s">
        <v>29</v>
      </c>
      <c r="B28" s="118">
        <v>19827</v>
      </c>
      <c r="C28" s="11">
        <v>20354.699999999997</v>
      </c>
      <c r="D28" s="10">
        <v>2119</v>
      </c>
      <c r="E28" s="11">
        <v>11637.060000000001</v>
      </c>
      <c r="F28" s="10">
        <v>1617</v>
      </c>
      <c r="G28" s="11">
        <v>10601.1</v>
      </c>
      <c r="H28" s="10">
        <v>4691</v>
      </c>
      <c r="I28" s="11">
        <v>9300.98</v>
      </c>
      <c r="J28" s="10">
        <v>19569</v>
      </c>
      <c r="K28" s="11">
        <v>90608.810000000012</v>
      </c>
      <c r="L28" s="119">
        <f t="shared" si="14"/>
        <v>142502.65000000002</v>
      </c>
      <c r="M28" s="23">
        <f>13285+1997</f>
        <v>15282</v>
      </c>
      <c r="N28" s="11">
        <f>42588.78+1577.9+3354.96-122.94</f>
        <v>47398.7</v>
      </c>
      <c r="O28" s="10">
        <v>437</v>
      </c>
      <c r="P28" s="11">
        <v>1847.21</v>
      </c>
      <c r="Q28" s="10">
        <v>586</v>
      </c>
      <c r="R28" s="11">
        <v>3743</v>
      </c>
      <c r="S28" s="10">
        <f>678+732</f>
        <v>1410</v>
      </c>
      <c r="T28" s="11">
        <f>2177+197.3+1229.76+14.55</f>
        <v>3618.6100000000006</v>
      </c>
      <c r="U28" s="10">
        <f>4262+1297</f>
        <v>5559</v>
      </c>
      <c r="V28" s="11">
        <f>39391.43+760.72+2678.6+6317.34+108.39</f>
        <v>49256.479999999996</v>
      </c>
      <c r="W28" s="144">
        <f t="shared" si="15"/>
        <v>105864</v>
      </c>
      <c r="X28" s="153">
        <f t="shared" si="16"/>
        <v>0.77076713572401268</v>
      </c>
      <c r="Y28" s="154">
        <f t="shared" si="17"/>
        <v>2.3286366293779817</v>
      </c>
      <c r="Z28" s="154">
        <f t="shared" si="6"/>
        <v>0.20622935346861726</v>
      </c>
      <c r="AA28" s="154">
        <f t="shared" si="7"/>
        <v>0.15873511007075669</v>
      </c>
      <c r="AB28" s="154">
        <f t="shared" si="8"/>
        <v>0.3623995052566481</v>
      </c>
      <c r="AC28" s="154">
        <f t="shared" si="9"/>
        <v>0.35307656752601146</v>
      </c>
      <c r="AD28" s="154">
        <f t="shared" si="18"/>
        <v>0.30057557024088682</v>
      </c>
      <c r="AE28" s="154">
        <f t="shared" si="19"/>
        <v>0.38905685207365254</v>
      </c>
      <c r="AF28" s="154">
        <f t="shared" si="20"/>
        <v>0.2840717461290817</v>
      </c>
      <c r="AG28" s="154">
        <f t="shared" si="21"/>
        <v>0.54361689553146086</v>
      </c>
      <c r="AH28" s="155">
        <f t="shared" si="22"/>
        <v>0.74289144798359874</v>
      </c>
      <c r="AQ28" s="13"/>
    </row>
    <row r="29" spans="1:43" ht="18.75" hidden="1" customHeight="1" outlineLevel="1" thickBot="1" x14ac:dyDescent="0.25">
      <c r="A29" s="90" t="s">
        <v>30</v>
      </c>
      <c r="B29" s="124">
        <f t="shared" ref="B29:L29" si="23">SUM(B21:B28)</f>
        <v>77287</v>
      </c>
      <c r="C29" s="74">
        <f>SUM(C21:C28)</f>
        <v>79213.009999999995</v>
      </c>
      <c r="D29" s="73">
        <f>SUM(D21:D28)</f>
        <v>11715</v>
      </c>
      <c r="E29" s="74">
        <f>SUM(E21:E28)</f>
        <v>64763.19</v>
      </c>
      <c r="F29" s="73">
        <f>SUM(F21:F28)</f>
        <v>8508</v>
      </c>
      <c r="G29" s="74">
        <f>SUM(G21:G28)</f>
        <v>56154.54</v>
      </c>
      <c r="H29" s="73">
        <f t="shared" si="23"/>
        <v>23824</v>
      </c>
      <c r="I29" s="74">
        <f t="shared" si="23"/>
        <v>48830.099999999991</v>
      </c>
      <c r="J29" s="73">
        <f>SUM(J21:J28)</f>
        <v>78156</v>
      </c>
      <c r="K29" s="74">
        <f>SUM(K21:K28)</f>
        <v>355022.83999999997</v>
      </c>
      <c r="L29" s="71">
        <f t="shared" si="23"/>
        <v>603983.67999999993</v>
      </c>
      <c r="M29" s="73">
        <f t="shared" ref="M29" si="24">SUM(M21:M28)</f>
        <v>71236</v>
      </c>
      <c r="N29" s="74">
        <f>SUM(N21:N28)</f>
        <v>187751.74059</v>
      </c>
      <c r="O29" s="73">
        <f>SUM(O21:O28)</f>
        <v>4102</v>
      </c>
      <c r="P29" s="74">
        <f>SUM(P21:P28)</f>
        <v>24439.469999999998</v>
      </c>
      <c r="Q29" s="73">
        <f>SUM(Q21:Q28)</f>
        <v>3745</v>
      </c>
      <c r="R29" s="74">
        <f>SUM(R21:R28)</f>
        <v>27984.71</v>
      </c>
      <c r="S29" s="73">
        <f t="shared" ref="S29:T29" si="25">SUM(S21:S28)</f>
        <v>7968</v>
      </c>
      <c r="T29" s="74">
        <f t="shared" si="25"/>
        <v>20387.5</v>
      </c>
      <c r="U29" s="73">
        <f>SUM(U21:U28)</f>
        <v>22876</v>
      </c>
      <c r="V29" s="74">
        <f>SUM(V21:V28)</f>
        <v>186221.28000000003</v>
      </c>
      <c r="W29" s="146">
        <f t="shared" ref="W29" si="26">SUM(W21:W28)</f>
        <v>446784.70059000002</v>
      </c>
      <c r="X29" s="166">
        <f t="shared" si="16"/>
        <v>0.92170740227981418</v>
      </c>
      <c r="Y29" s="171">
        <f t="shared" si="17"/>
        <v>2.3702134357727349</v>
      </c>
      <c r="Z29" s="171">
        <f t="shared" si="6"/>
        <v>0.35014938113529664</v>
      </c>
      <c r="AA29" s="171">
        <f t="shared" si="7"/>
        <v>0.37736668005390095</v>
      </c>
      <c r="AB29" s="171">
        <f t="shared" si="8"/>
        <v>0.44017395392571695</v>
      </c>
      <c r="AC29" s="171">
        <f t="shared" si="9"/>
        <v>0.49835169159964626</v>
      </c>
      <c r="AD29" s="171">
        <f t="shared" si="18"/>
        <v>0.33445265278710545</v>
      </c>
      <c r="AE29" s="171">
        <f t="shared" si="19"/>
        <v>0.41751911218695031</v>
      </c>
      <c r="AF29" s="171">
        <f t="shared" si="20"/>
        <v>0.29269665796611904</v>
      </c>
      <c r="AG29" s="171">
        <f t="shared" si="21"/>
        <v>0.52453323848122013</v>
      </c>
      <c r="AH29" s="172">
        <f t="shared" si="22"/>
        <v>0.73972975658878737</v>
      </c>
    </row>
    <row r="30" spans="1:43" ht="18.75" customHeight="1" outlineLevel="1" thickBot="1" x14ac:dyDescent="0.25">
      <c r="A30" s="90" t="s">
        <v>62</v>
      </c>
      <c r="B30" s="124">
        <f t="shared" ref="B30:L30" si="27">B29+B20+B13</f>
        <v>340518</v>
      </c>
      <c r="C30" s="74">
        <f t="shared" si="27"/>
        <v>282252.5</v>
      </c>
      <c r="D30" s="73">
        <f t="shared" si="27"/>
        <v>37197</v>
      </c>
      <c r="E30" s="74">
        <f t="shared" si="27"/>
        <v>205641.7</v>
      </c>
      <c r="F30" s="73">
        <f t="shared" si="27"/>
        <v>26559</v>
      </c>
      <c r="G30" s="74">
        <f t="shared" si="27"/>
        <v>168785.30000000002</v>
      </c>
      <c r="H30" s="73">
        <f t="shared" si="27"/>
        <v>73867</v>
      </c>
      <c r="I30" s="74">
        <f t="shared" si="27"/>
        <v>146423.59999999998</v>
      </c>
      <c r="J30" s="73">
        <f t="shared" si="27"/>
        <v>241894</v>
      </c>
      <c r="K30" s="74">
        <f t="shared" si="27"/>
        <v>1095555.06</v>
      </c>
      <c r="L30" s="71">
        <f t="shared" si="27"/>
        <v>1898658.16</v>
      </c>
      <c r="M30" s="73">
        <f t="shared" ref="M30:W30" si="28">M29+M20+M13</f>
        <v>313500</v>
      </c>
      <c r="N30" s="74">
        <f t="shared" si="28"/>
        <v>552655.33059000003</v>
      </c>
      <c r="O30" s="73">
        <f t="shared" si="28"/>
        <v>12893</v>
      </c>
      <c r="P30" s="74">
        <f t="shared" si="28"/>
        <v>75229.73</v>
      </c>
      <c r="Q30" s="73">
        <f t="shared" si="28"/>
        <v>6456</v>
      </c>
      <c r="R30" s="74">
        <f t="shared" si="28"/>
        <v>48624.81</v>
      </c>
      <c r="S30" s="73">
        <f t="shared" si="28"/>
        <v>42187</v>
      </c>
      <c r="T30" s="74">
        <f t="shared" si="28"/>
        <v>85626.44</v>
      </c>
      <c r="U30" s="73">
        <f t="shared" si="28"/>
        <v>83250</v>
      </c>
      <c r="V30" s="74">
        <f t="shared" si="28"/>
        <v>519919.46</v>
      </c>
      <c r="W30" s="146">
        <f t="shared" si="28"/>
        <v>1282055.7705899999</v>
      </c>
      <c r="X30" s="166">
        <f t="shared" si="16"/>
        <v>0.92065617676598599</v>
      </c>
      <c r="Y30" s="171">
        <f t="shared" si="17"/>
        <v>1.9580174864350184</v>
      </c>
      <c r="Z30" s="171">
        <f t="shared" si="6"/>
        <v>0.34661397424523482</v>
      </c>
      <c r="AA30" s="171">
        <f t="shared" si="7"/>
        <v>0.36582915819116452</v>
      </c>
      <c r="AB30" s="171">
        <f t="shared" si="8"/>
        <v>0.24308144131932677</v>
      </c>
      <c r="AC30" s="171">
        <f t="shared" si="9"/>
        <v>0.2880867587402457</v>
      </c>
      <c r="AD30" s="171">
        <f t="shared" si="18"/>
        <v>0.57112106894824477</v>
      </c>
      <c r="AE30" s="171">
        <f t="shared" si="19"/>
        <v>0.58478578589790187</v>
      </c>
      <c r="AF30" s="171">
        <f t="shared" si="20"/>
        <v>0.3441590117985564</v>
      </c>
      <c r="AG30" s="171">
        <f t="shared" si="21"/>
        <v>0.47457172987727336</v>
      </c>
      <c r="AH30" s="172">
        <f>IFERROR(W30/L30,0)</f>
        <v>0.67524307302900688</v>
      </c>
    </row>
    <row r="31" spans="1:43" ht="27.75" customHeight="1" outlineLevel="1" thickBot="1" x14ac:dyDescent="0.25">
      <c r="A31" s="90" t="s">
        <v>51</v>
      </c>
      <c r="B31" s="90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</row>
    <row r="32" spans="1:43" ht="18.75" customHeight="1" outlineLevel="1" x14ac:dyDescent="0.2">
      <c r="A32" s="104" t="s">
        <v>31</v>
      </c>
      <c r="B32" s="125">
        <v>250</v>
      </c>
      <c r="C32" s="38">
        <v>420</v>
      </c>
      <c r="D32" s="38"/>
      <c r="E32" s="38"/>
      <c r="F32" s="37"/>
      <c r="G32" s="38"/>
      <c r="H32" s="37">
        <v>195</v>
      </c>
      <c r="I32" s="38">
        <v>327.60000000000002</v>
      </c>
      <c r="J32" s="37">
        <v>908</v>
      </c>
      <c r="K32" s="38">
        <v>4423.6000000000004</v>
      </c>
      <c r="L32" s="119">
        <f t="shared" ref="L32:L42" si="29">K32+C32+I32+E32+G32</f>
        <v>5171.2000000000007</v>
      </c>
      <c r="M32" s="47">
        <v>183</v>
      </c>
      <c r="N32" s="38">
        <v>307.44</v>
      </c>
      <c r="O32" s="38">
        <v>0</v>
      </c>
      <c r="P32" s="38">
        <v>0</v>
      </c>
      <c r="Q32" s="37">
        <v>0</v>
      </c>
      <c r="R32" s="38">
        <v>0</v>
      </c>
      <c r="S32" s="37">
        <v>143</v>
      </c>
      <c r="T32" s="38">
        <v>240.24</v>
      </c>
      <c r="U32" s="37">
        <v>666</v>
      </c>
      <c r="V32" s="38">
        <v>3244.1040000000003</v>
      </c>
      <c r="W32" s="144">
        <f t="shared" ref="W32:W42" si="30">V32+N32+T32+P32+R32</f>
        <v>3791.7840000000006</v>
      </c>
      <c r="X32" s="174">
        <f t="shared" ref="X32:X43" si="31">IFERROR(M32/B32,0)</f>
        <v>0.73199999999999998</v>
      </c>
      <c r="Y32" s="175">
        <f t="shared" ref="Y32:Y43" si="32">IFERROR(N32/C32,0)</f>
        <v>0.73199999999999998</v>
      </c>
      <c r="Z32" s="175"/>
      <c r="AA32" s="175"/>
      <c r="AB32" s="175"/>
      <c r="AC32" s="175"/>
      <c r="AD32" s="175">
        <f t="shared" ref="AD32:AD43" si="33">IFERROR(S32/H32,0)</f>
        <v>0.73333333333333328</v>
      </c>
      <c r="AE32" s="175">
        <f t="shared" ref="AE32:AE43" si="34">IFERROR(T32/I32,0)</f>
        <v>0.73333333333333328</v>
      </c>
      <c r="AF32" s="175">
        <f t="shared" ref="AF32:AF43" si="35">IFERROR(U32/J32,0)</f>
        <v>0.73348017621145378</v>
      </c>
      <c r="AG32" s="175">
        <f t="shared" ref="AG32:AG43" si="36">IFERROR(V32/K32,0)</f>
        <v>0.7333628718690659</v>
      </c>
      <c r="AH32" s="176">
        <f t="shared" ref="AH32:AH43" si="37">IFERROR(W32/L32,0)</f>
        <v>0.7332503094059406</v>
      </c>
      <c r="AQ32" s="13"/>
    </row>
    <row r="33" spans="1:43" ht="18.75" customHeight="1" outlineLevel="1" x14ac:dyDescent="0.2">
      <c r="A33" s="104" t="s">
        <v>32</v>
      </c>
      <c r="B33" s="125">
        <v>150</v>
      </c>
      <c r="C33" s="38">
        <v>252</v>
      </c>
      <c r="D33" s="38"/>
      <c r="E33" s="38"/>
      <c r="F33" s="37"/>
      <c r="G33" s="38"/>
      <c r="H33" s="37">
        <v>111</v>
      </c>
      <c r="I33" s="38">
        <v>186.4</v>
      </c>
      <c r="J33" s="37">
        <v>574</v>
      </c>
      <c r="K33" s="38">
        <v>2796.4</v>
      </c>
      <c r="L33" s="119">
        <f t="shared" si="29"/>
        <v>3234.8</v>
      </c>
      <c r="M33" s="47">
        <v>148</v>
      </c>
      <c r="N33" s="38">
        <v>248.64</v>
      </c>
      <c r="O33" s="38">
        <v>0</v>
      </c>
      <c r="P33" s="38">
        <v>0</v>
      </c>
      <c r="Q33" s="37">
        <v>0</v>
      </c>
      <c r="R33" s="38">
        <v>0</v>
      </c>
      <c r="S33" s="37">
        <v>110</v>
      </c>
      <c r="T33" s="38">
        <v>184.8</v>
      </c>
      <c r="U33" s="37">
        <v>567</v>
      </c>
      <c r="V33" s="38">
        <v>2764.1680000000001</v>
      </c>
      <c r="W33" s="144">
        <f t="shared" si="30"/>
        <v>3197.6080000000002</v>
      </c>
      <c r="X33" s="177">
        <f t="shared" si="31"/>
        <v>0.98666666666666669</v>
      </c>
      <c r="Y33" s="178">
        <f t="shared" si="32"/>
        <v>0.98666666666666658</v>
      </c>
      <c r="Z33" s="178"/>
      <c r="AA33" s="178"/>
      <c r="AB33" s="178"/>
      <c r="AC33" s="178"/>
      <c r="AD33" s="178">
        <f t="shared" si="33"/>
        <v>0.99099099099099097</v>
      </c>
      <c r="AE33" s="178">
        <f t="shared" si="34"/>
        <v>0.99141630901287559</v>
      </c>
      <c r="AF33" s="178">
        <f t="shared" si="35"/>
        <v>0.98780487804878048</v>
      </c>
      <c r="AG33" s="178">
        <f t="shared" si="36"/>
        <v>0.98847375196681453</v>
      </c>
      <c r="AH33" s="179">
        <f t="shared" si="37"/>
        <v>0.98850253493260787</v>
      </c>
      <c r="AQ33" s="13"/>
    </row>
    <row r="34" spans="1:43" ht="18.75" customHeight="1" outlineLevel="1" x14ac:dyDescent="0.2">
      <c r="A34" s="104" t="s">
        <v>33</v>
      </c>
      <c r="B34" s="125">
        <v>7819</v>
      </c>
      <c r="C34" s="39">
        <v>13136</v>
      </c>
      <c r="D34" s="39"/>
      <c r="E34" s="39"/>
      <c r="F34" s="37"/>
      <c r="G34" s="39"/>
      <c r="H34" s="37">
        <v>1200</v>
      </c>
      <c r="I34" s="39">
        <v>2016</v>
      </c>
      <c r="J34" s="37">
        <v>3221</v>
      </c>
      <c r="K34" s="39">
        <v>15692.8</v>
      </c>
      <c r="L34" s="119">
        <f t="shared" si="29"/>
        <v>30844.799999999999</v>
      </c>
      <c r="M34" s="47">
        <v>5602</v>
      </c>
      <c r="N34" s="39">
        <v>9411.36</v>
      </c>
      <c r="O34" s="39">
        <v>0</v>
      </c>
      <c r="P34" s="39">
        <v>0</v>
      </c>
      <c r="Q34" s="37">
        <v>0</v>
      </c>
      <c r="R34" s="39">
        <v>0</v>
      </c>
      <c r="S34" s="37">
        <v>860</v>
      </c>
      <c r="T34" s="39">
        <v>1444.8</v>
      </c>
      <c r="U34" s="37">
        <v>2308</v>
      </c>
      <c r="V34" s="39">
        <v>11242.423999999999</v>
      </c>
      <c r="W34" s="144">
        <f t="shared" si="30"/>
        <v>22098.583999999999</v>
      </c>
      <c r="X34" s="180">
        <f t="shared" si="31"/>
        <v>0.71645990535874149</v>
      </c>
      <c r="Y34" s="181">
        <f t="shared" si="32"/>
        <v>0.71645554202192452</v>
      </c>
      <c r="Z34" s="181"/>
      <c r="AA34" s="181"/>
      <c r="AB34" s="178"/>
      <c r="AC34" s="181"/>
      <c r="AD34" s="181">
        <f t="shared" si="33"/>
        <v>0.71666666666666667</v>
      </c>
      <c r="AE34" s="181">
        <f t="shared" si="34"/>
        <v>0.71666666666666667</v>
      </c>
      <c r="AF34" s="181">
        <f t="shared" si="35"/>
        <v>0.71654765600745107</v>
      </c>
      <c r="AG34" s="181">
        <f t="shared" si="36"/>
        <v>0.71640650489396407</v>
      </c>
      <c r="AH34" s="182">
        <f t="shared" si="37"/>
        <v>0.71644439257184356</v>
      </c>
      <c r="AQ34" s="13"/>
    </row>
    <row r="35" spans="1:43" ht="18.75" customHeight="1" outlineLevel="1" x14ac:dyDescent="0.2">
      <c r="A35" s="105" t="s">
        <v>34</v>
      </c>
      <c r="B35" s="125">
        <v>12806</v>
      </c>
      <c r="C35" s="43">
        <v>21514</v>
      </c>
      <c r="D35" s="43"/>
      <c r="E35" s="43"/>
      <c r="F35" s="37"/>
      <c r="G35" s="43"/>
      <c r="H35" s="37">
        <v>2155</v>
      </c>
      <c r="I35" s="43">
        <v>3620.4</v>
      </c>
      <c r="J35" s="37">
        <v>4310</v>
      </c>
      <c r="K35" s="43">
        <v>20998.400000000001</v>
      </c>
      <c r="L35" s="122">
        <f t="shared" si="29"/>
        <v>46132.800000000003</v>
      </c>
      <c r="M35" s="47">
        <v>9010</v>
      </c>
      <c r="N35" s="43">
        <v>15136.8</v>
      </c>
      <c r="O35" s="43">
        <v>0</v>
      </c>
      <c r="P35" s="43">
        <v>0</v>
      </c>
      <c r="Q35" s="37">
        <v>0</v>
      </c>
      <c r="R35" s="43">
        <v>0</v>
      </c>
      <c r="S35" s="37">
        <v>1516</v>
      </c>
      <c r="T35" s="43">
        <v>2546.88</v>
      </c>
      <c r="U35" s="37">
        <v>3033</v>
      </c>
      <c r="V35" s="43">
        <v>14775.912</v>
      </c>
      <c r="W35" s="143">
        <f t="shared" si="30"/>
        <v>32459.592000000001</v>
      </c>
      <c r="X35" s="180">
        <f t="shared" si="31"/>
        <v>0.70357644853974699</v>
      </c>
      <c r="Y35" s="183">
        <f t="shared" si="32"/>
        <v>0.70357906479501719</v>
      </c>
      <c r="Z35" s="183"/>
      <c r="AA35" s="183"/>
      <c r="AB35" s="178"/>
      <c r="AC35" s="183"/>
      <c r="AD35" s="183">
        <f t="shared" si="33"/>
        <v>0.70348027842227379</v>
      </c>
      <c r="AE35" s="183">
        <f t="shared" si="34"/>
        <v>0.70348027842227379</v>
      </c>
      <c r="AF35" s="183">
        <f t="shared" si="35"/>
        <v>0.7037122969837587</v>
      </c>
      <c r="AG35" s="183">
        <f t="shared" si="36"/>
        <v>0.70366846997866506</v>
      </c>
      <c r="AH35" s="184">
        <f t="shared" si="37"/>
        <v>0.70361200707522631</v>
      </c>
      <c r="AQ35" s="13"/>
    </row>
    <row r="36" spans="1:43" ht="18.75" customHeight="1" outlineLevel="1" x14ac:dyDescent="0.2">
      <c r="A36" s="104" t="s">
        <v>35</v>
      </c>
      <c r="B36" s="125">
        <v>2172</v>
      </c>
      <c r="C36" s="38">
        <v>3648.8</v>
      </c>
      <c r="D36" s="38"/>
      <c r="E36" s="38"/>
      <c r="F36" s="37"/>
      <c r="G36" s="38"/>
      <c r="H36" s="37">
        <v>150</v>
      </c>
      <c r="I36" s="38">
        <v>252</v>
      </c>
      <c r="J36" s="37">
        <v>1408</v>
      </c>
      <c r="K36" s="38">
        <v>6859.6</v>
      </c>
      <c r="L36" s="119">
        <f t="shared" si="29"/>
        <v>10760.400000000001</v>
      </c>
      <c r="M36" s="47">
        <v>1736</v>
      </c>
      <c r="N36" s="38">
        <v>2916.48</v>
      </c>
      <c r="O36" s="38">
        <v>0</v>
      </c>
      <c r="P36" s="38">
        <v>0</v>
      </c>
      <c r="Q36" s="37">
        <v>0</v>
      </c>
      <c r="R36" s="38">
        <v>0</v>
      </c>
      <c r="S36" s="37">
        <v>120</v>
      </c>
      <c r="T36" s="38">
        <v>201.6</v>
      </c>
      <c r="U36" s="37">
        <v>1126</v>
      </c>
      <c r="V36" s="38">
        <v>5483.0400000000009</v>
      </c>
      <c r="W36" s="144">
        <f t="shared" si="30"/>
        <v>8601.1200000000008</v>
      </c>
      <c r="X36" s="177">
        <f t="shared" si="31"/>
        <v>0.79926335174953955</v>
      </c>
      <c r="Y36" s="178">
        <f t="shared" si="32"/>
        <v>0.79929839947379955</v>
      </c>
      <c r="Z36" s="178"/>
      <c r="AA36" s="178"/>
      <c r="AB36" s="178"/>
      <c r="AC36" s="178"/>
      <c r="AD36" s="178">
        <f t="shared" si="33"/>
        <v>0.8</v>
      </c>
      <c r="AE36" s="178">
        <f t="shared" si="34"/>
        <v>0.79999999999999993</v>
      </c>
      <c r="AF36" s="178">
        <f t="shared" si="35"/>
        <v>0.79971590909090906</v>
      </c>
      <c r="AG36" s="178">
        <f t="shared" si="36"/>
        <v>0.79932357571870083</v>
      </c>
      <c r="AH36" s="179">
        <f t="shared" si="37"/>
        <v>0.79933087989294072</v>
      </c>
      <c r="AQ36" s="13"/>
    </row>
    <row r="37" spans="1:43" ht="25.5" customHeight="1" outlineLevel="1" x14ac:dyDescent="0.2">
      <c r="A37" s="106" t="s">
        <v>52</v>
      </c>
      <c r="B37" s="125"/>
      <c r="C37" s="46"/>
      <c r="D37" s="46"/>
      <c r="E37" s="46"/>
      <c r="F37" s="37"/>
      <c r="G37" s="46"/>
      <c r="H37" s="37"/>
      <c r="I37" s="46"/>
      <c r="J37" s="37">
        <v>0</v>
      </c>
      <c r="K37" s="46">
        <v>1004.7</v>
      </c>
      <c r="L37" s="126">
        <f t="shared" si="29"/>
        <v>1004.7</v>
      </c>
      <c r="M37" s="47"/>
      <c r="N37" s="46"/>
      <c r="O37" s="46">
        <v>0</v>
      </c>
      <c r="P37" s="46">
        <v>0</v>
      </c>
      <c r="Q37" s="37">
        <v>0</v>
      </c>
      <c r="R37" s="46">
        <v>0</v>
      </c>
      <c r="S37" s="37"/>
      <c r="T37" s="46"/>
      <c r="U37" s="37"/>
      <c r="V37" s="46"/>
      <c r="W37" s="147">
        <f t="shared" si="30"/>
        <v>0</v>
      </c>
      <c r="X37" s="177">
        <f t="shared" si="31"/>
        <v>0</v>
      </c>
      <c r="Y37" s="185">
        <f t="shared" si="32"/>
        <v>0</v>
      </c>
      <c r="Z37" s="185"/>
      <c r="AA37" s="185"/>
      <c r="AB37" s="178"/>
      <c r="AC37" s="185"/>
      <c r="AD37" s="185">
        <f t="shared" si="33"/>
        <v>0</v>
      </c>
      <c r="AE37" s="185">
        <f t="shared" si="34"/>
        <v>0</v>
      </c>
      <c r="AF37" s="185">
        <f t="shared" si="35"/>
        <v>0</v>
      </c>
      <c r="AG37" s="185">
        <f t="shared" si="36"/>
        <v>0</v>
      </c>
      <c r="AH37" s="186">
        <f t="shared" si="37"/>
        <v>0</v>
      </c>
      <c r="AQ37" s="13"/>
    </row>
    <row r="38" spans="1:43" ht="18.75" customHeight="1" outlineLevel="1" x14ac:dyDescent="0.2">
      <c r="A38" s="104" t="s">
        <v>36</v>
      </c>
      <c r="B38" s="125">
        <v>400</v>
      </c>
      <c r="C38" s="38">
        <v>672</v>
      </c>
      <c r="D38" s="38"/>
      <c r="E38" s="38"/>
      <c r="F38" s="37"/>
      <c r="G38" s="38"/>
      <c r="H38" s="37">
        <v>329</v>
      </c>
      <c r="I38" s="38">
        <v>552.79999999999995</v>
      </c>
      <c r="J38" s="37">
        <v>1294</v>
      </c>
      <c r="K38" s="38">
        <v>6304.4</v>
      </c>
      <c r="L38" s="119">
        <f t="shared" si="29"/>
        <v>7529.2</v>
      </c>
      <c r="M38" s="47">
        <v>248</v>
      </c>
      <c r="N38" s="38">
        <v>416.64</v>
      </c>
      <c r="O38" s="38">
        <v>0</v>
      </c>
      <c r="P38" s="38">
        <v>0</v>
      </c>
      <c r="Q38" s="37">
        <v>0</v>
      </c>
      <c r="R38" s="38">
        <v>0</v>
      </c>
      <c r="S38" s="37">
        <v>204</v>
      </c>
      <c r="T38" s="38">
        <v>342.72</v>
      </c>
      <c r="U38" s="37">
        <v>802</v>
      </c>
      <c r="V38" s="38">
        <v>3908.7479999999996</v>
      </c>
      <c r="W38" s="144">
        <f t="shared" si="30"/>
        <v>4668.1080000000002</v>
      </c>
      <c r="X38" s="177">
        <f t="shared" si="31"/>
        <v>0.62</v>
      </c>
      <c r="Y38" s="178">
        <f t="shared" si="32"/>
        <v>0.62</v>
      </c>
      <c r="Z38" s="178"/>
      <c r="AA38" s="178"/>
      <c r="AB38" s="178"/>
      <c r="AC38" s="178"/>
      <c r="AD38" s="178">
        <f t="shared" si="33"/>
        <v>0.62006079027355621</v>
      </c>
      <c r="AE38" s="178">
        <f t="shared" si="34"/>
        <v>0.61997105643994221</v>
      </c>
      <c r="AF38" s="178">
        <f t="shared" si="35"/>
        <v>0.61978361669242654</v>
      </c>
      <c r="AG38" s="178">
        <f t="shared" si="36"/>
        <v>0.62000317238753888</v>
      </c>
      <c r="AH38" s="179">
        <f t="shared" si="37"/>
        <v>0.62000053126494181</v>
      </c>
      <c r="AQ38" s="13"/>
    </row>
    <row r="39" spans="1:43" ht="18.75" customHeight="1" outlineLevel="1" x14ac:dyDescent="0.2">
      <c r="A39" s="104" t="s">
        <v>53</v>
      </c>
      <c r="B39" s="125">
        <v>1986</v>
      </c>
      <c r="C39" s="38">
        <v>3336.4</v>
      </c>
      <c r="D39" s="38"/>
      <c r="E39" s="38"/>
      <c r="F39" s="37"/>
      <c r="G39" s="38"/>
      <c r="H39" s="37">
        <v>300</v>
      </c>
      <c r="I39" s="38">
        <v>504</v>
      </c>
      <c r="J39" s="37">
        <v>1132</v>
      </c>
      <c r="K39" s="38">
        <v>5515.2</v>
      </c>
      <c r="L39" s="119">
        <f t="shared" si="29"/>
        <v>9355.6</v>
      </c>
      <c r="M39" s="47">
        <v>1375</v>
      </c>
      <c r="N39" s="38">
        <v>2310</v>
      </c>
      <c r="O39" s="38">
        <v>0</v>
      </c>
      <c r="P39" s="38">
        <v>0</v>
      </c>
      <c r="Q39" s="37">
        <v>0</v>
      </c>
      <c r="R39" s="38">
        <v>0</v>
      </c>
      <c r="S39" s="37">
        <v>208</v>
      </c>
      <c r="T39" s="38">
        <v>349.44</v>
      </c>
      <c r="U39" s="37">
        <v>783</v>
      </c>
      <c r="V39" s="38">
        <v>3816.4640000000004</v>
      </c>
      <c r="W39" s="144">
        <f t="shared" si="30"/>
        <v>6475.9039999999995</v>
      </c>
      <c r="X39" s="177">
        <f t="shared" si="31"/>
        <v>0.69234642497482379</v>
      </c>
      <c r="Y39" s="178">
        <f t="shared" si="32"/>
        <v>0.69236302601606525</v>
      </c>
      <c r="Z39" s="178"/>
      <c r="AA39" s="178"/>
      <c r="AB39" s="178"/>
      <c r="AC39" s="178"/>
      <c r="AD39" s="178">
        <f t="shared" si="33"/>
        <v>0.69333333333333336</v>
      </c>
      <c r="AE39" s="178">
        <f t="shared" si="34"/>
        <v>0.69333333333333336</v>
      </c>
      <c r="AF39" s="178">
        <f t="shared" si="35"/>
        <v>0.69169611307420498</v>
      </c>
      <c r="AG39" s="178">
        <f t="shared" si="36"/>
        <v>0.69199013635044981</v>
      </c>
      <c r="AH39" s="179">
        <f t="shared" si="37"/>
        <v>0.69219547650604973</v>
      </c>
      <c r="AQ39" s="13"/>
    </row>
    <row r="40" spans="1:43" ht="18.75" customHeight="1" outlineLevel="1" x14ac:dyDescent="0.2">
      <c r="A40" s="104" t="s">
        <v>37</v>
      </c>
      <c r="B40" s="125"/>
      <c r="C40" s="38">
        <v>0</v>
      </c>
      <c r="D40" s="38"/>
      <c r="E40" s="38"/>
      <c r="F40" s="37"/>
      <c r="G40" s="38"/>
      <c r="H40" s="37"/>
      <c r="I40" s="38">
        <v>0</v>
      </c>
      <c r="J40" s="37"/>
      <c r="K40" s="38">
        <v>21950.7</v>
      </c>
      <c r="L40" s="119">
        <f t="shared" si="29"/>
        <v>21950.7</v>
      </c>
      <c r="M40" s="47"/>
      <c r="N40" s="38"/>
      <c r="O40" s="38">
        <v>0</v>
      </c>
      <c r="P40" s="38">
        <v>0</v>
      </c>
      <c r="Q40" s="37">
        <v>0</v>
      </c>
      <c r="R40" s="38">
        <v>0</v>
      </c>
      <c r="S40" s="37"/>
      <c r="T40" s="38"/>
      <c r="U40" s="37"/>
      <c r="V40" s="38">
        <f>16661.38</f>
        <v>16661.38</v>
      </c>
      <c r="W40" s="144">
        <f t="shared" si="30"/>
        <v>16661.38</v>
      </c>
      <c r="X40" s="177">
        <f t="shared" si="31"/>
        <v>0</v>
      </c>
      <c r="Y40" s="178">
        <f t="shared" si="32"/>
        <v>0</v>
      </c>
      <c r="Z40" s="178"/>
      <c r="AA40" s="178"/>
      <c r="AB40" s="178"/>
      <c r="AC40" s="178"/>
      <c r="AD40" s="178">
        <f t="shared" si="33"/>
        <v>0</v>
      </c>
      <c r="AE40" s="178">
        <f t="shared" si="34"/>
        <v>0</v>
      </c>
      <c r="AF40" s="178">
        <f t="shared" si="35"/>
        <v>0</v>
      </c>
      <c r="AG40" s="178">
        <f t="shared" si="36"/>
        <v>0.75903638608335955</v>
      </c>
      <c r="AH40" s="179">
        <f t="shared" si="37"/>
        <v>0.75903638608335955</v>
      </c>
      <c r="AQ40" s="13"/>
    </row>
    <row r="41" spans="1:43" ht="18.75" customHeight="1" outlineLevel="1" x14ac:dyDescent="0.2">
      <c r="A41" s="104" t="s">
        <v>38</v>
      </c>
      <c r="B41" s="125"/>
      <c r="C41" s="38"/>
      <c r="D41" s="38"/>
      <c r="E41" s="38"/>
      <c r="F41" s="37"/>
      <c r="G41" s="38"/>
      <c r="H41" s="37"/>
      <c r="I41" s="38"/>
      <c r="J41" s="37"/>
      <c r="K41" s="38">
        <v>4584.3</v>
      </c>
      <c r="L41" s="119">
        <f t="shared" si="29"/>
        <v>4584.3</v>
      </c>
      <c r="M41" s="47"/>
      <c r="N41" s="38"/>
      <c r="O41" s="38">
        <v>0</v>
      </c>
      <c r="P41" s="38">
        <v>0</v>
      </c>
      <c r="Q41" s="37">
        <v>0</v>
      </c>
      <c r="R41" s="38">
        <v>0</v>
      </c>
      <c r="S41" s="37"/>
      <c r="T41" s="38"/>
      <c r="U41" s="37"/>
      <c r="V41" s="38">
        <f>2711.27</f>
        <v>2711.27</v>
      </c>
      <c r="W41" s="144">
        <f t="shared" si="30"/>
        <v>2711.27</v>
      </c>
      <c r="X41" s="177">
        <f t="shared" si="31"/>
        <v>0</v>
      </c>
      <c r="Y41" s="178">
        <f t="shared" si="32"/>
        <v>0</v>
      </c>
      <c r="Z41" s="178"/>
      <c r="AA41" s="178"/>
      <c r="AB41" s="178"/>
      <c r="AC41" s="178"/>
      <c r="AD41" s="178">
        <f t="shared" si="33"/>
        <v>0</v>
      </c>
      <c r="AE41" s="178">
        <f t="shared" si="34"/>
        <v>0</v>
      </c>
      <c r="AF41" s="178">
        <f t="shared" si="35"/>
        <v>0</v>
      </c>
      <c r="AG41" s="178">
        <f t="shared" si="36"/>
        <v>0.59142508125558968</v>
      </c>
      <c r="AH41" s="179">
        <f t="shared" si="37"/>
        <v>0.59142508125558968</v>
      </c>
    </row>
    <row r="42" spans="1:43" ht="18.75" customHeight="1" outlineLevel="1" x14ac:dyDescent="0.2">
      <c r="A42" s="107" t="s">
        <v>39</v>
      </c>
      <c r="B42" s="127"/>
      <c r="C42" s="51"/>
      <c r="D42" s="51"/>
      <c r="E42" s="51"/>
      <c r="F42" s="50"/>
      <c r="G42" s="51"/>
      <c r="H42" s="50"/>
      <c r="I42" s="51"/>
      <c r="J42" s="50"/>
      <c r="K42" s="51">
        <v>853.4</v>
      </c>
      <c r="L42" s="128">
        <f t="shared" si="29"/>
        <v>853.4</v>
      </c>
      <c r="M42" s="113"/>
      <c r="N42" s="51"/>
      <c r="O42" s="51">
        <v>0</v>
      </c>
      <c r="P42" s="51">
        <v>0</v>
      </c>
      <c r="Q42" s="50">
        <v>0</v>
      </c>
      <c r="R42" s="51">
        <v>0</v>
      </c>
      <c r="S42" s="50"/>
      <c r="T42" s="51"/>
      <c r="U42" s="50"/>
      <c r="V42" s="51">
        <f>453.83</f>
        <v>453.83</v>
      </c>
      <c r="W42" s="148">
        <f t="shared" si="30"/>
        <v>453.83</v>
      </c>
      <c r="X42" s="187">
        <f t="shared" si="31"/>
        <v>0</v>
      </c>
      <c r="Y42" s="188">
        <f t="shared" si="32"/>
        <v>0</v>
      </c>
      <c r="Z42" s="188"/>
      <c r="AA42" s="188"/>
      <c r="AB42" s="188"/>
      <c r="AC42" s="188"/>
      <c r="AD42" s="188">
        <f t="shared" si="33"/>
        <v>0</v>
      </c>
      <c r="AE42" s="188">
        <f t="shared" si="34"/>
        <v>0</v>
      </c>
      <c r="AF42" s="188">
        <f t="shared" si="35"/>
        <v>0</v>
      </c>
      <c r="AG42" s="188">
        <f t="shared" si="36"/>
        <v>0.53179048511835014</v>
      </c>
      <c r="AH42" s="189">
        <f t="shared" si="37"/>
        <v>0.53179048511835014</v>
      </c>
    </row>
    <row r="43" spans="1:43" ht="33" customHeight="1" outlineLevel="1" thickBot="1" x14ac:dyDescent="0.25">
      <c r="A43" s="108" t="s">
        <v>40</v>
      </c>
      <c r="B43" s="129">
        <f t="shared" ref="B43:I43" si="38">SUM(B32:B42)</f>
        <v>25583</v>
      </c>
      <c r="C43" s="78">
        <f>SUM(C32:C42)</f>
        <v>42979.200000000004</v>
      </c>
      <c r="D43" s="77">
        <f t="shared" si="38"/>
        <v>0</v>
      </c>
      <c r="E43" s="78">
        <f>SUM(E32:E42)</f>
        <v>0</v>
      </c>
      <c r="F43" s="77">
        <f>SUM(F32:F42)</f>
        <v>0</v>
      </c>
      <c r="G43" s="78">
        <f>SUM(G32:G42)</f>
        <v>0</v>
      </c>
      <c r="H43" s="77">
        <f t="shared" si="38"/>
        <v>4440</v>
      </c>
      <c r="I43" s="78">
        <f t="shared" si="38"/>
        <v>7459.2</v>
      </c>
      <c r="J43" s="77">
        <f>SUM(J32:J42)</f>
        <v>12847</v>
      </c>
      <c r="K43" s="78">
        <f>SUM(K32:K42)</f>
        <v>90983.499999999985</v>
      </c>
      <c r="L43" s="130">
        <f>SUM(L32:L42)</f>
        <v>141421.9</v>
      </c>
      <c r="M43" s="77">
        <f t="shared" ref="M43" si="39">SUM(M32:M42)</f>
        <v>18302</v>
      </c>
      <c r="N43" s="78">
        <f>SUM(N32:N42)</f>
        <v>30747.359999999997</v>
      </c>
      <c r="O43" s="77">
        <f t="shared" ref="O43" si="40">SUM(O32:O42)</f>
        <v>0</v>
      </c>
      <c r="P43" s="78">
        <f>SUM(P32:P42)</f>
        <v>0</v>
      </c>
      <c r="Q43" s="77">
        <f>SUM(Q32:Q42)</f>
        <v>0</v>
      </c>
      <c r="R43" s="78">
        <f>SUM(R32:R42)</f>
        <v>0</v>
      </c>
      <c r="S43" s="77">
        <f t="shared" ref="S43:T43" si="41">SUM(S32:S42)</f>
        <v>3161</v>
      </c>
      <c r="T43" s="78">
        <f t="shared" si="41"/>
        <v>5310.4800000000005</v>
      </c>
      <c r="U43" s="77">
        <f>SUM(U32:U42)</f>
        <v>9285</v>
      </c>
      <c r="V43" s="78">
        <f>SUM(V32:V42)</f>
        <v>65061.340000000004</v>
      </c>
      <c r="W43" s="149">
        <f>SUM(W32:W42)</f>
        <v>101119.18000000001</v>
      </c>
      <c r="X43" s="190">
        <f t="shared" si="31"/>
        <v>0.71539694328264858</v>
      </c>
      <c r="Y43" s="191">
        <f t="shared" si="32"/>
        <v>0.71540093812821071</v>
      </c>
      <c r="Z43" s="191">
        <f t="shared" ref="Z43" si="42">IFERROR(O43/D43,0)</f>
        <v>0</v>
      </c>
      <c r="AA43" s="191">
        <f t="shared" ref="AA43" si="43">IFERROR(P43/E43,0)</f>
        <v>0</v>
      </c>
      <c r="AB43" s="191">
        <f t="shared" ref="AB43" si="44">IFERROR(Q43/F43,0)</f>
        <v>0</v>
      </c>
      <c r="AC43" s="191">
        <f t="shared" ref="AC43" si="45">IFERROR(R43/G43,0)</f>
        <v>0</v>
      </c>
      <c r="AD43" s="191">
        <f t="shared" si="33"/>
        <v>0.71193693693693694</v>
      </c>
      <c r="AE43" s="191">
        <f t="shared" si="34"/>
        <v>0.71193693693693705</v>
      </c>
      <c r="AF43" s="191">
        <f t="shared" si="35"/>
        <v>0.72273682571806652</v>
      </c>
      <c r="AG43" s="191">
        <f t="shared" si="36"/>
        <v>0.71508943929393809</v>
      </c>
      <c r="AH43" s="192">
        <f t="shared" si="37"/>
        <v>0.71501782962893312</v>
      </c>
    </row>
    <row r="44" spans="1:43" ht="57.75" customHeight="1" outlineLevel="1" thickBot="1" x14ac:dyDescent="0.25">
      <c r="A44" s="92" t="s">
        <v>41</v>
      </c>
      <c r="B44" s="131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</row>
    <row r="45" spans="1:43" ht="18.75" hidden="1" customHeight="1" outlineLevel="1" x14ac:dyDescent="0.2">
      <c r="A45" s="107" t="s">
        <v>42</v>
      </c>
      <c r="B45" s="132"/>
      <c r="C45" s="55"/>
      <c r="D45" s="55"/>
      <c r="E45" s="55"/>
      <c r="F45" s="55"/>
      <c r="G45" s="55"/>
      <c r="H45" s="54"/>
      <c r="I45" s="55"/>
      <c r="J45" s="54"/>
      <c r="K45" s="55">
        <v>0</v>
      </c>
      <c r="L45" s="128">
        <f>K45+C45+I45+E45+G45</f>
        <v>0</v>
      </c>
      <c r="M45" s="114"/>
      <c r="N45" s="55"/>
      <c r="O45" s="55">
        <v>0</v>
      </c>
      <c r="P45" s="55">
        <v>0</v>
      </c>
      <c r="Q45" s="55">
        <v>0</v>
      </c>
      <c r="R45" s="55">
        <v>0</v>
      </c>
      <c r="S45" s="54"/>
      <c r="T45" s="55"/>
      <c r="U45" s="54"/>
      <c r="V45" s="55">
        <v>0</v>
      </c>
      <c r="W45" s="148">
        <f>V45+N45+T45+P45+R45</f>
        <v>0</v>
      </c>
      <c r="X45" s="194">
        <f t="shared" ref="X45:X50" si="46">IFERROR(M45/B45,0)</f>
        <v>0</v>
      </c>
      <c r="Y45" s="195">
        <f t="shared" ref="Y45:Y50" si="47">IFERROR(N45/C45,0)</f>
        <v>0</v>
      </c>
      <c r="Z45" s="195"/>
      <c r="AA45" s="195"/>
      <c r="AB45" s="195"/>
      <c r="AC45" s="195"/>
      <c r="AD45" s="195">
        <f t="shared" ref="AD45:AD50" si="48">IFERROR(S45/H45,0)</f>
        <v>0</v>
      </c>
      <c r="AE45" s="195">
        <f t="shared" ref="AE45:AE50" si="49">IFERROR(T45/I45,0)</f>
        <v>0</v>
      </c>
      <c r="AF45" s="195">
        <f t="shared" ref="AF45:AF50" si="50">IFERROR(U45/J45,0)</f>
        <v>0</v>
      </c>
      <c r="AG45" s="195">
        <f t="shared" ref="AG45:AG50" si="51">IFERROR(V45/K45,0)</f>
        <v>0</v>
      </c>
      <c r="AH45" s="196">
        <f t="shared" ref="AH45:AH50" si="52">IFERROR(W45/L45,0)</f>
        <v>0</v>
      </c>
    </row>
    <row r="46" spans="1:43" ht="18.75" hidden="1" customHeight="1" outlineLevel="1" x14ac:dyDescent="0.2">
      <c r="A46" s="107" t="s">
        <v>43</v>
      </c>
      <c r="B46" s="132"/>
      <c r="C46" s="55"/>
      <c r="D46" s="55"/>
      <c r="E46" s="55"/>
      <c r="F46" s="55"/>
      <c r="G46" s="55"/>
      <c r="H46" s="54"/>
      <c r="I46" s="55"/>
      <c r="J46" s="54"/>
      <c r="K46" s="55">
        <v>0</v>
      </c>
      <c r="L46" s="128"/>
      <c r="M46" s="114"/>
      <c r="N46" s="55"/>
      <c r="O46" s="55">
        <v>0</v>
      </c>
      <c r="P46" s="55">
        <v>0</v>
      </c>
      <c r="Q46" s="55">
        <v>0</v>
      </c>
      <c r="R46" s="55">
        <v>0</v>
      </c>
      <c r="S46" s="54"/>
      <c r="T46" s="55"/>
      <c r="U46" s="54"/>
      <c r="V46" s="55">
        <v>0</v>
      </c>
      <c r="W46" s="148">
        <f t="shared" ref="W46:W47" si="53">V46+N46+T46+P46+R46</f>
        <v>0</v>
      </c>
      <c r="X46" s="197">
        <f t="shared" si="46"/>
        <v>0</v>
      </c>
      <c r="Y46" s="198">
        <f t="shared" si="47"/>
        <v>0</v>
      </c>
      <c r="Z46" s="198"/>
      <c r="AA46" s="198"/>
      <c r="AB46" s="198"/>
      <c r="AC46" s="198"/>
      <c r="AD46" s="198">
        <f t="shared" si="48"/>
        <v>0</v>
      </c>
      <c r="AE46" s="198">
        <f t="shared" si="49"/>
        <v>0</v>
      </c>
      <c r="AF46" s="198">
        <f t="shared" si="50"/>
        <v>0</v>
      </c>
      <c r="AG46" s="198">
        <f t="shared" si="51"/>
        <v>0</v>
      </c>
      <c r="AH46" s="199">
        <f t="shared" si="52"/>
        <v>0</v>
      </c>
    </row>
    <row r="47" spans="1:43" ht="18.75" hidden="1" customHeight="1" outlineLevel="1" x14ac:dyDescent="0.2">
      <c r="A47" s="107" t="s">
        <v>44</v>
      </c>
      <c r="B47" s="132"/>
      <c r="C47" s="55"/>
      <c r="D47" s="55"/>
      <c r="E47" s="55"/>
      <c r="F47" s="55"/>
      <c r="G47" s="55"/>
      <c r="H47" s="54"/>
      <c r="I47" s="55"/>
      <c r="J47" s="54"/>
      <c r="K47" s="55">
        <v>0</v>
      </c>
      <c r="L47" s="128"/>
      <c r="M47" s="114"/>
      <c r="N47" s="55"/>
      <c r="O47" s="55">
        <v>0</v>
      </c>
      <c r="P47" s="55">
        <v>0</v>
      </c>
      <c r="Q47" s="55">
        <v>0</v>
      </c>
      <c r="R47" s="55">
        <v>0</v>
      </c>
      <c r="S47" s="54"/>
      <c r="T47" s="55"/>
      <c r="U47" s="54"/>
      <c r="V47" s="55">
        <v>0</v>
      </c>
      <c r="W47" s="148">
        <f t="shared" si="53"/>
        <v>0</v>
      </c>
      <c r="X47" s="197">
        <f t="shared" si="46"/>
        <v>0</v>
      </c>
      <c r="Y47" s="198">
        <f t="shared" si="47"/>
        <v>0</v>
      </c>
      <c r="Z47" s="198"/>
      <c r="AA47" s="198"/>
      <c r="AB47" s="198"/>
      <c r="AC47" s="198"/>
      <c r="AD47" s="198">
        <f t="shared" si="48"/>
        <v>0</v>
      </c>
      <c r="AE47" s="198">
        <f t="shared" si="49"/>
        <v>0</v>
      </c>
      <c r="AF47" s="198">
        <f t="shared" si="50"/>
        <v>0</v>
      </c>
      <c r="AG47" s="198">
        <f t="shared" si="51"/>
        <v>0</v>
      </c>
      <c r="AH47" s="199">
        <f t="shared" si="52"/>
        <v>0</v>
      </c>
    </row>
    <row r="48" spans="1:43" ht="18.75" customHeight="1" outlineLevel="1" x14ac:dyDescent="0.2">
      <c r="A48" s="109" t="s">
        <v>45</v>
      </c>
      <c r="B48" s="133">
        <v>0</v>
      </c>
      <c r="C48" s="58"/>
      <c r="D48" s="58"/>
      <c r="E48" s="58"/>
      <c r="F48" s="58"/>
      <c r="G48" s="58"/>
      <c r="H48" s="57">
        <v>0</v>
      </c>
      <c r="I48" s="58"/>
      <c r="J48" s="57">
        <v>48</v>
      </c>
      <c r="K48" s="58">
        <f>'[1]Прил №1 (СВОД)'!I3596</f>
        <v>61.74</v>
      </c>
      <c r="L48" s="128">
        <f>K48+C48+I48+E48+G48</f>
        <v>61.74</v>
      </c>
      <c r="M48" s="57"/>
      <c r="N48" s="58"/>
      <c r="O48" s="58">
        <v>0</v>
      </c>
      <c r="P48" s="58">
        <v>0</v>
      </c>
      <c r="Q48" s="58">
        <v>0</v>
      </c>
      <c r="R48" s="58">
        <v>0</v>
      </c>
      <c r="S48" s="57"/>
      <c r="T48" s="58"/>
      <c r="U48" s="57"/>
      <c r="V48" s="58">
        <f>'[1]Прил №1 (СВОД)'!U3596</f>
        <v>0</v>
      </c>
      <c r="W48" s="148">
        <f>V48+N48+T48+P48+R48</f>
        <v>0</v>
      </c>
      <c r="X48" s="200">
        <f t="shared" si="46"/>
        <v>0</v>
      </c>
      <c r="Y48" s="201">
        <f t="shared" si="47"/>
        <v>0</v>
      </c>
      <c r="Z48" s="201"/>
      <c r="AA48" s="201"/>
      <c r="AB48" s="201"/>
      <c r="AC48" s="201"/>
      <c r="AD48" s="201">
        <f t="shared" si="48"/>
        <v>0</v>
      </c>
      <c r="AE48" s="201">
        <f t="shared" si="49"/>
        <v>0</v>
      </c>
      <c r="AF48" s="201">
        <f t="shared" si="50"/>
        <v>0</v>
      </c>
      <c r="AG48" s="201">
        <f t="shared" si="51"/>
        <v>0</v>
      </c>
      <c r="AH48" s="202">
        <f t="shared" si="52"/>
        <v>0</v>
      </c>
    </row>
    <row r="49" spans="1:34" ht="18.75" customHeight="1" outlineLevel="1" thickBot="1" x14ac:dyDescent="0.25">
      <c r="A49" s="108" t="s">
        <v>46</v>
      </c>
      <c r="B49" s="129">
        <f t="shared" ref="B49:I49" si="54">SUM(B45:B48)</f>
        <v>0</v>
      </c>
      <c r="C49" s="78">
        <f t="shared" si="54"/>
        <v>0</v>
      </c>
      <c r="D49" s="78">
        <f t="shared" si="54"/>
        <v>0</v>
      </c>
      <c r="E49" s="78">
        <f t="shared" si="54"/>
        <v>0</v>
      </c>
      <c r="F49" s="78">
        <f t="shared" si="54"/>
        <v>0</v>
      </c>
      <c r="G49" s="78">
        <f t="shared" si="54"/>
        <v>0</v>
      </c>
      <c r="H49" s="77">
        <f t="shared" si="54"/>
        <v>0</v>
      </c>
      <c r="I49" s="78">
        <f t="shared" si="54"/>
        <v>0</v>
      </c>
      <c r="J49" s="77">
        <f>SUM(J45:J48)</f>
        <v>48</v>
      </c>
      <c r="K49" s="78">
        <f t="shared" ref="K49:L49" si="55">SUM(K45:K48)</f>
        <v>61.74</v>
      </c>
      <c r="L49" s="130">
        <f t="shared" si="55"/>
        <v>61.74</v>
      </c>
      <c r="M49" s="77">
        <f t="shared" ref="M49:T49" si="56">SUM(M45:M48)</f>
        <v>0</v>
      </c>
      <c r="N49" s="78">
        <f t="shared" si="56"/>
        <v>0</v>
      </c>
      <c r="O49" s="78">
        <f t="shared" si="56"/>
        <v>0</v>
      </c>
      <c r="P49" s="78">
        <f t="shared" si="56"/>
        <v>0</v>
      </c>
      <c r="Q49" s="78">
        <f t="shared" si="56"/>
        <v>0</v>
      </c>
      <c r="R49" s="78">
        <f t="shared" si="56"/>
        <v>0</v>
      </c>
      <c r="S49" s="77">
        <f t="shared" si="56"/>
        <v>0</v>
      </c>
      <c r="T49" s="78">
        <f t="shared" si="56"/>
        <v>0</v>
      </c>
      <c r="U49" s="77">
        <f>SUM(U45:U48)</f>
        <v>0</v>
      </c>
      <c r="V49" s="78">
        <f t="shared" ref="V49:W49" si="57">SUM(V45:V48)</f>
        <v>0</v>
      </c>
      <c r="W49" s="149">
        <f t="shared" si="57"/>
        <v>0</v>
      </c>
      <c r="X49" s="190">
        <f t="shared" si="46"/>
        <v>0</v>
      </c>
      <c r="Y49" s="191">
        <f t="shared" si="47"/>
        <v>0</v>
      </c>
      <c r="Z49" s="191">
        <f t="shared" ref="Z49" si="58">IFERROR(O49/D49,0)</f>
        <v>0</v>
      </c>
      <c r="AA49" s="191">
        <f t="shared" ref="AA49" si="59">IFERROR(P49/E49,0)</f>
        <v>0</v>
      </c>
      <c r="AB49" s="191">
        <f t="shared" ref="AB49:AB50" si="60">IFERROR(Q49/F49,0)</f>
        <v>0</v>
      </c>
      <c r="AC49" s="191">
        <f t="shared" ref="AC49:AC50" si="61">IFERROR(R49/G49,0)</f>
        <v>0</v>
      </c>
      <c r="AD49" s="191">
        <f t="shared" si="48"/>
        <v>0</v>
      </c>
      <c r="AE49" s="191">
        <f t="shared" si="49"/>
        <v>0</v>
      </c>
      <c r="AF49" s="191">
        <f t="shared" si="50"/>
        <v>0</v>
      </c>
      <c r="AG49" s="191">
        <f t="shared" si="51"/>
        <v>0</v>
      </c>
      <c r="AH49" s="192">
        <f t="shared" si="52"/>
        <v>0</v>
      </c>
    </row>
    <row r="50" spans="1:34" ht="34.5" customHeight="1" outlineLevel="1" thickBot="1" x14ac:dyDescent="0.25">
      <c r="A50" s="110" t="s">
        <v>47</v>
      </c>
      <c r="B50" s="134">
        <f t="shared" ref="B50:L50" si="62">B49+B43+B30</f>
        <v>366101</v>
      </c>
      <c r="C50" s="83">
        <f>C49+C43+C30</f>
        <v>325231.7</v>
      </c>
      <c r="D50" s="82">
        <f t="shared" si="62"/>
        <v>37197</v>
      </c>
      <c r="E50" s="83">
        <f>E49+E43+E30</f>
        <v>205641.7</v>
      </c>
      <c r="F50" s="82">
        <f>F49+F43+F30</f>
        <v>26559</v>
      </c>
      <c r="G50" s="83">
        <f>G49+G43+G30</f>
        <v>168785.30000000002</v>
      </c>
      <c r="H50" s="82">
        <f t="shared" si="62"/>
        <v>78307</v>
      </c>
      <c r="I50" s="83">
        <f t="shared" si="62"/>
        <v>153882.79999999999</v>
      </c>
      <c r="J50" s="82">
        <f>J49+J43+J30</f>
        <v>254789</v>
      </c>
      <c r="K50" s="83">
        <f>K49+K43+K30</f>
        <v>1186600.3</v>
      </c>
      <c r="L50" s="71">
        <f t="shared" si="62"/>
        <v>2040141.7999999998</v>
      </c>
      <c r="M50" s="82">
        <f t="shared" ref="M50" si="63">M49+M43+M30</f>
        <v>331802</v>
      </c>
      <c r="N50" s="83">
        <f>N49+N43+N30</f>
        <v>583402.69059000001</v>
      </c>
      <c r="O50" s="82">
        <f t="shared" ref="O50" si="64">O49+O43+O30</f>
        <v>12893</v>
      </c>
      <c r="P50" s="83">
        <f>P49+P43+P30</f>
        <v>75229.73</v>
      </c>
      <c r="Q50" s="82">
        <f>Q49+Q43+Q30</f>
        <v>6456</v>
      </c>
      <c r="R50" s="83">
        <f>R49+R43+R30</f>
        <v>48624.81</v>
      </c>
      <c r="S50" s="82">
        <f t="shared" ref="S50:T50" si="65">S49+S43+S30</f>
        <v>45348</v>
      </c>
      <c r="T50" s="83">
        <f t="shared" si="65"/>
        <v>90936.92</v>
      </c>
      <c r="U50" s="82">
        <f>U49+U43+U30</f>
        <v>92535</v>
      </c>
      <c r="V50" s="83">
        <f>V49+V43+V30</f>
        <v>584980.80000000005</v>
      </c>
      <c r="W50" s="146">
        <f t="shared" ref="W50" si="66">W49+W43+W30</f>
        <v>1383174.9505899998</v>
      </c>
      <c r="X50" s="203">
        <f t="shared" si="46"/>
        <v>0.90631273883436536</v>
      </c>
      <c r="Y50" s="204">
        <f t="shared" si="47"/>
        <v>1.7938063558687545</v>
      </c>
      <c r="Z50" s="204">
        <f>IFERROR(O50/D50,0)</f>
        <v>0.34661397424523482</v>
      </c>
      <c r="AA50" s="204">
        <f>IFERROR(P50/E50,0)</f>
        <v>0.36582915819116452</v>
      </c>
      <c r="AB50" s="204">
        <f t="shared" si="60"/>
        <v>0.24308144131932677</v>
      </c>
      <c r="AC50" s="204">
        <f t="shared" si="61"/>
        <v>0.2880867587402457</v>
      </c>
      <c r="AD50" s="204">
        <f t="shared" si="48"/>
        <v>0.57910531625525175</v>
      </c>
      <c r="AE50" s="204">
        <f t="shared" si="49"/>
        <v>0.59094921589677341</v>
      </c>
      <c r="AF50" s="204">
        <f t="shared" si="50"/>
        <v>0.36318286896216084</v>
      </c>
      <c r="AG50" s="204">
        <f t="shared" si="51"/>
        <v>0.49298891968930064</v>
      </c>
      <c r="AH50" s="205">
        <f t="shared" si="52"/>
        <v>0.67797981032004728</v>
      </c>
    </row>
    <row r="53" spans="1:34" ht="18.75" customHeight="1" x14ac:dyDescent="0.25">
      <c r="W53" s="13"/>
    </row>
    <row r="57" spans="1:34" ht="18.75" customHeight="1" x14ac:dyDescent="0.25">
      <c r="N57" s="13"/>
      <c r="P57" s="13"/>
      <c r="R57" s="13"/>
      <c r="T57" s="13"/>
      <c r="V57" s="13"/>
      <c r="W57" s="13"/>
    </row>
    <row r="66" spans="1:12" ht="18.75" customHeight="1" x14ac:dyDescent="0.25">
      <c r="A66" s="2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84"/>
    </row>
    <row r="67" spans="1:12" ht="18.75" customHeight="1" x14ac:dyDescent="0.25">
      <c r="A67" s="2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84"/>
    </row>
    <row r="69" spans="1:12" ht="18.75" customHeight="1" x14ac:dyDescent="0.25">
      <c r="A69" s="2"/>
    </row>
  </sheetData>
  <sheetProtection formatCells="0" insertRows="0"/>
  <mergeCells count="21">
    <mergeCell ref="X5:AH5"/>
    <mergeCell ref="X6:Y6"/>
    <mergeCell ref="Z6:AA6"/>
    <mergeCell ref="AB6:AC6"/>
    <mergeCell ref="AD6:AE6"/>
    <mergeCell ref="AF6:AG6"/>
    <mergeCell ref="A5:A7"/>
    <mergeCell ref="B5:L5"/>
    <mergeCell ref="B1:W1"/>
    <mergeCell ref="B2:W2"/>
    <mergeCell ref="M5:W5"/>
    <mergeCell ref="M6:N6"/>
    <mergeCell ref="O6:P6"/>
    <mergeCell ref="Q6:R6"/>
    <mergeCell ref="S6:T6"/>
    <mergeCell ref="U6:V6"/>
    <mergeCell ref="B6:C6"/>
    <mergeCell ref="D6:E6"/>
    <mergeCell ref="F6:G6"/>
    <mergeCell ref="H6:I6"/>
    <mergeCell ref="J6:K6"/>
  </mergeCells>
  <pageMargins left="0.39370078740157483" right="0.39370078740157483" top="0.59055118110236227" bottom="0.19685039370078741" header="0.51181102362204722" footer="0.51181102362204722"/>
  <pageSetup paperSize="9" scale="43" orientation="landscape" r:id="rId1"/>
  <headerFooter alignWithMargins="0"/>
  <colBreaks count="1" manualBreakCount="1">
    <brk id="23" max="48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5"/>
  <sheetViews>
    <sheetView view="pageBreakPreview" zoomScaleNormal="100" zoomScaleSheetLayoutView="100" workbookViewId="0">
      <pane xSplit="2" ySplit="11" topLeftCell="F12" activePane="bottomRight" state="frozen"/>
      <selection pane="topRight" activeCell="C1" sqref="C1"/>
      <selection pane="bottomLeft" activeCell="A11" sqref="A11"/>
      <selection pane="bottomRight" activeCell="K7" sqref="K7:P7"/>
    </sheetView>
  </sheetViews>
  <sheetFormatPr defaultColWidth="8.85546875" defaultRowHeight="12.75" x14ac:dyDescent="0.2"/>
  <cols>
    <col min="1" max="1" width="4.28515625" style="293" customWidth="1"/>
    <col min="2" max="2" width="35.140625" style="293" customWidth="1"/>
    <col min="3" max="3" width="13.28515625" style="293" customWidth="1"/>
    <col min="4" max="4" width="14" style="293" customWidth="1"/>
    <col min="5" max="5" width="12.7109375" style="293" customWidth="1"/>
    <col min="6" max="6" width="11.85546875" style="293" customWidth="1"/>
    <col min="7" max="7" width="12.42578125" style="293" customWidth="1"/>
    <col min="8" max="8" width="14" style="293" customWidth="1"/>
    <col min="9" max="9" width="13.42578125" style="293" customWidth="1"/>
    <col min="10" max="10" width="12.85546875" style="293" customWidth="1"/>
    <col min="11" max="12" width="14.7109375" style="293" customWidth="1"/>
    <col min="13" max="13" width="14.140625" style="293" customWidth="1"/>
    <col min="14" max="14" width="11.85546875" style="293" customWidth="1"/>
    <col min="15" max="15" width="13.85546875" style="293" customWidth="1"/>
    <col min="16" max="16" width="11.7109375" style="293" customWidth="1"/>
    <col min="17" max="17" width="10.140625" style="293" bestFit="1" customWidth="1"/>
    <col min="18" max="16384" width="8.85546875" style="293"/>
  </cols>
  <sheetData>
    <row r="1" spans="1:16" ht="15.75" x14ac:dyDescent="0.25">
      <c r="A1" s="292"/>
      <c r="B1" s="292"/>
      <c r="G1" s="294"/>
      <c r="H1" s="294"/>
      <c r="I1" s="294"/>
      <c r="J1" s="294"/>
      <c r="K1" s="294"/>
      <c r="L1" s="294"/>
    </row>
    <row r="2" spans="1:16" ht="12.95" customHeight="1" x14ac:dyDescent="0.2">
      <c r="A2" s="362" t="s">
        <v>140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295"/>
    </row>
    <row r="3" spans="1:16" ht="12.95" customHeight="1" x14ac:dyDescent="0.2">
      <c r="A3" s="362" t="s">
        <v>141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295"/>
    </row>
    <row r="4" spans="1:16" ht="12.95" customHeight="1" x14ac:dyDescent="0.2">
      <c r="A4" s="365" t="s">
        <v>101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296"/>
    </row>
    <row r="5" spans="1:16" ht="12.95" customHeight="1" x14ac:dyDescent="0.2">
      <c r="A5" s="366" t="s">
        <v>102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297"/>
    </row>
    <row r="6" spans="1:16" x14ac:dyDescent="0.2">
      <c r="O6" s="298" t="s">
        <v>103</v>
      </c>
      <c r="P6" s="5" t="s">
        <v>148</v>
      </c>
    </row>
    <row r="7" spans="1:16" ht="12.95" customHeight="1" x14ac:dyDescent="0.2">
      <c r="A7" s="367" t="s">
        <v>104</v>
      </c>
      <c r="B7" s="370" t="s">
        <v>105</v>
      </c>
      <c r="C7" s="373" t="s">
        <v>106</v>
      </c>
      <c r="D7" s="364" t="s">
        <v>107</v>
      </c>
      <c r="E7" s="364"/>
      <c r="F7" s="364"/>
      <c r="G7" s="364"/>
      <c r="H7" s="364"/>
      <c r="I7" s="364"/>
      <c r="J7" s="364"/>
      <c r="K7" s="364" t="s">
        <v>108</v>
      </c>
      <c r="L7" s="364"/>
      <c r="M7" s="364"/>
      <c r="N7" s="364"/>
      <c r="O7" s="364"/>
      <c r="P7" s="364"/>
    </row>
    <row r="8" spans="1:16" ht="13.15" customHeight="1" x14ac:dyDescent="0.2">
      <c r="A8" s="368"/>
      <c r="B8" s="371"/>
      <c r="C8" s="374"/>
      <c r="D8" s="363" t="s">
        <v>109</v>
      </c>
      <c r="E8" s="363" t="s">
        <v>110</v>
      </c>
      <c r="F8" s="363" t="s">
        <v>111</v>
      </c>
      <c r="G8" s="364" t="s">
        <v>112</v>
      </c>
      <c r="H8" s="364"/>
      <c r="I8" s="364"/>
      <c r="J8" s="364"/>
      <c r="K8" s="363" t="s">
        <v>113</v>
      </c>
      <c r="L8" s="363" t="s">
        <v>114</v>
      </c>
      <c r="M8" s="363" t="s">
        <v>115</v>
      </c>
      <c r="N8" s="363" t="s">
        <v>116</v>
      </c>
      <c r="O8" s="363" t="s">
        <v>117</v>
      </c>
      <c r="P8" s="363" t="s">
        <v>118</v>
      </c>
    </row>
    <row r="9" spans="1:16" ht="73.5" customHeight="1" x14ac:dyDescent="0.2">
      <c r="A9" s="369"/>
      <c r="B9" s="372"/>
      <c r="C9" s="375"/>
      <c r="D9" s="363"/>
      <c r="E9" s="363"/>
      <c r="F9" s="363"/>
      <c r="G9" s="299" t="s">
        <v>5</v>
      </c>
      <c r="H9" s="299" t="s">
        <v>109</v>
      </c>
      <c r="I9" s="299" t="s">
        <v>110</v>
      </c>
      <c r="J9" s="299" t="s">
        <v>111</v>
      </c>
      <c r="K9" s="363"/>
      <c r="L9" s="363"/>
      <c r="M9" s="363"/>
      <c r="N9" s="363"/>
      <c r="O9" s="363"/>
      <c r="P9" s="363"/>
    </row>
    <row r="10" spans="1:16" x14ac:dyDescent="0.2">
      <c r="A10" s="300">
        <v>1</v>
      </c>
      <c r="B10" s="300">
        <v>2</v>
      </c>
      <c r="C10" s="300" t="s">
        <v>119</v>
      </c>
      <c r="D10" s="300">
        <v>4</v>
      </c>
      <c r="E10" s="300">
        <v>5</v>
      </c>
      <c r="F10" s="300">
        <v>6</v>
      </c>
      <c r="G10" s="300" t="s">
        <v>120</v>
      </c>
      <c r="H10" s="300">
        <v>8</v>
      </c>
      <c r="I10" s="300">
        <v>9</v>
      </c>
      <c r="J10" s="300">
        <v>10</v>
      </c>
      <c r="K10" s="300">
        <v>11</v>
      </c>
      <c r="L10" s="300">
        <v>12</v>
      </c>
      <c r="M10" s="300">
        <v>13</v>
      </c>
      <c r="N10" s="300">
        <v>14</v>
      </c>
      <c r="O10" s="300">
        <v>15</v>
      </c>
      <c r="P10" s="300">
        <v>16</v>
      </c>
    </row>
    <row r="11" spans="1:16" s="302" customFormat="1" ht="12.95" customHeight="1" x14ac:dyDescent="0.2">
      <c r="A11" s="359" t="s">
        <v>12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1"/>
      <c r="P11" s="301"/>
    </row>
    <row r="12" spans="1:16" x14ac:dyDescent="0.2">
      <c r="A12" s="303" t="s">
        <v>121</v>
      </c>
      <c r="B12" s="304" t="s">
        <v>122</v>
      </c>
      <c r="C12" s="305">
        <f>SUM(C14:C19)</f>
        <v>255600.12</v>
      </c>
      <c r="D12" s="305">
        <f>SUM(D14:D19)</f>
        <v>27202.23</v>
      </c>
      <c r="E12" s="305">
        <f t="shared" ref="E12:O12" si="0">SUM(E14:E19)</f>
        <v>228397.89</v>
      </c>
      <c r="F12" s="305">
        <f t="shared" si="0"/>
        <v>0</v>
      </c>
      <c r="G12" s="305">
        <f t="shared" si="0"/>
        <v>136716.88</v>
      </c>
      <c r="H12" s="305">
        <f t="shared" si="0"/>
        <v>27202.23</v>
      </c>
      <c r="I12" s="305">
        <f t="shared" si="0"/>
        <v>109514.65000000001</v>
      </c>
      <c r="J12" s="305">
        <f t="shared" si="0"/>
        <v>0</v>
      </c>
      <c r="K12" s="305">
        <f t="shared" si="0"/>
        <v>1546193.01</v>
      </c>
      <c r="L12" s="305">
        <f t="shared" si="0"/>
        <v>1159644.77</v>
      </c>
      <c r="M12" s="305">
        <f t="shared" si="0"/>
        <v>1303034.9699999997</v>
      </c>
      <c r="N12" s="306">
        <f>M12/L12</f>
        <v>1.1236501070927087</v>
      </c>
      <c r="O12" s="305">
        <f t="shared" si="0"/>
        <v>1074637.08</v>
      </c>
      <c r="P12" s="306">
        <f>O12/L12</f>
        <v>0.92669506024676851</v>
      </c>
    </row>
    <row r="13" spans="1:16" x14ac:dyDescent="0.2">
      <c r="A13" s="303"/>
      <c r="B13" s="307" t="s">
        <v>107</v>
      </c>
      <c r="C13" s="308"/>
      <c r="D13" s="308"/>
      <c r="E13" s="308"/>
      <c r="F13" s="308"/>
      <c r="G13" s="308"/>
      <c r="H13" s="308"/>
      <c r="I13" s="308"/>
      <c r="J13" s="308"/>
      <c r="K13" s="309"/>
      <c r="L13" s="309"/>
      <c r="M13" s="309"/>
      <c r="N13" s="309"/>
      <c r="O13" s="309"/>
      <c r="P13" s="309"/>
    </row>
    <row r="14" spans="1:16" x14ac:dyDescent="0.2">
      <c r="A14" s="303" t="s">
        <v>123</v>
      </c>
      <c r="B14" s="310" t="s">
        <v>124</v>
      </c>
      <c r="C14" s="308">
        <f t="shared" ref="C14:C18" si="1">D14+E14+F14</f>
        <v>3444.35</v>
      </c>
      <c r="D14" s="308">
        <v>0</v>
      </c>
      <c r="E14" s="308">
        <v>3444.35</v>
      </c>
      <c r="F14" s="308"/>
      <c r="G14" s="308">
        <f t="shared" ref="G14:G19" si="2">H14+I14+J14</f>
        <v>0</v>
      </c>
      <c r="H14" s="308">
        <v>0</v>
      </c>
      <c r="I14" s="308">
        <v>0</v>
      </c>
      <c r="J14" s="308"/>
      <c r="K14" s="309">
        <v>40295.1</v>
      </c>
      <c r="L14" s="309">
        <f>ROUND(K14/12*9,2)</f>
        <v>30221.33</v>
      </c>
      <c r="M14" s="309">
        <f t="shared" ref="M14:M19" si="3">O14+E14</f>
        <v>22139.469999999998</v>
      </c>
      <c r="N14" s="311">
        <f t="shared" ref="N14:N19" si="4">M14/L14</f>
        <v>0.7325776198466446</v>
      </c>
      <c r="O14" s="309">
        <v>18695.12</v>
      </c>
      <c r="P14" s="311">
        <f t="shared" ref="P14:P19" si="5">O14/L14</f>
        <v>0.6186067919578655</v>
      </c>
    </row>
    <row r="15" spans="1:16" ht="25.5" x14ac:dyDescent="0.2">
      <c r="A15" s="303" t="s">
        <v>125</v>
      </c>
      <c r="B15" s="310" t="s">
        <v>126</v>
      </c>
      <c r="C15" s="308">
        <f t="shared" si="1"/>
        <v>3704.08</v>
      </c>
      <c r="D15" s="308">
        <v>283.11</v>
      </c>
      <c r="E15" s="308">
        <v>3420.97</v>
      </c>
      <c r="F15" s="308"/>
      <c r="G15" s="308">
        <f t="shared" si="2"/>
        <v>283.11</v>
      </c>
      <c r="H15" s="308">
        <v>283.11</v>
      </c>
      <c r="I15" s="308">
        <v>0</v>
      </c>
      <c r="J15" s="308"/>
      <c r="K15" s="309">
        <v>17500</v>
      </c>
      <c r="L15" s="309">
        <f t="shared" ref="L15:L19" si="6">ROUND(K15/12*9,2)</f>
        <v>13125</v>
      </c>
      <c r="M15" s="309">
        <f t="shared" si="3"/>
        <v>14036.99</v>
      </c>
      <c r="N15" s="311">
        <f t="shared" si="4"/>
        <v>1.0694849523809524</v>
      </c>
      <c r="O15" s="309">
        <v>10616.02</v>
      </c>
      <c r="P15" s="311">
        <f t="shared" si="5"/>
        <v>0.80883961904761903</v>
      </c>
    </row>
    <row r="16" spans="1:16" x14ac:dyDescent="0.2">
      <c r="A16" s="303" t="s">
        <v>127</v>
      </c>
      <c r="B16" s="304" t="s">
        <v>128</v>
      </c>
      <c r="C16" s="308">
        <f t="shared" si="1"/>
        <v>46846.94</v>
      </c>
      <c r="D16" s="308">
        <v>0</v>
      </c>
      <c r="E16" s="308">
        <v>46846.94</v>
      </c>
      <c r="F16" s="308"/>
      <c r="G16" s="308">
        <f t="shared" si="2"/>
        <v>0</v>
      </c>
      <c r="H16" s="308">
        <v>0</v>
      </c>
      <c r="I16" s="308">
        <v>0</v>
      </c>
      <c r="J16" s="308"/>
      <c r="K16" s="309">
        <v>915065.47</v>
      </c>
      <c r="L16" s="309">
        <f t="shared" si="6"/>
        <v>686299.1</v>
      </c>
      <c r="M16" s="309">
        <f t="shared" si="3"/>
        <v>705410.3899999999</v>
      </c>
      <c r="N16" s="311">
        <f t="shared" si="4"/>
        <v>1.0278468819207252</v>
      </c>
      <c r="O16" s="309">
        <v>658563.44999999995</v>
      </c>
      <c r="P16" s="311">
        <f t="shared" si="5"/>
        <v>0.9595866437825723</v>
      </c>
    </row>
    <row r="17" spans="1:16" ht="25.5" x14ac:dyDescent="0.2">
      <c r="A17" s="312" t="s">
        <v>129</v>
      </c>
      <c r="B17" s="304" t="s">
        <v>130</v>
      </c>
      <c r="C17" s="308">
        <f t="shared" si="1"/>
        <v>59783.199999999997</v>
      </c>
      <c r="D17" s="308">
        <v>25639.439999999999</v>
      </c>
      <c r="E17" s="308">
        <v>34143.760000000002</v>
      </c>
      <c r="F17" s="308"/>
      <c r="G17" s="308">
        <f t="shared" si="2"/>
        <v>42021.77</v>
      </c>
      <c r="H17" s="308">
        <v>25639.439999999999</v>
      </c>
      <c r="I17" s="308">
        <v>16382.33</v>
      </c>
      <c r="J17" s="308"/>
      <c r="K17" s="309">
        <v>204898.74</v>
      </c>
      <c r="L17" s="309">
        <f t="shared" si="6"/>
        <v>153674.06</v>
      </c>
      <c r="M17" s="309">
        <f t="shared" si="3"/>
        <v>220784.43000000002</v>
      </c>
      <c r="N17" s="311">
        <f t="shared" si="4"/>
        <v>1.4367059085964151</v>
      </c>
      <c r="O17" s="309">
        <v>186640.67</v>
      </c>
      <c r="P17" s="311">
        <f t="shared" si="5"/>
        <v>1.2145229324975211</v>
      </c>
    </row>
    <row r="18" spans="1:16" x14ac:dyDescent="0.2">
      <c r="A18" s="303" t="s">
        <v>131</v>
      </c>
      <c r="B18" s="304" t="s">
        <v>132</v>
      </c>
      <c r="C18" s="308">
        <f t="shared" si="1"/>
        <v>0</v>
      </c>
      <c r="D18" s="308">
        <v>0</v>
      </c>
      <c r="E18" s="308">
        <v>0</v>
      </c>
      <c r="F18" s="308"/>
      <c r="G18" s="308">
        <f t="shared" si="2"/>
        <v>0</v>
      </c>
      <c r="H18" s="308">
        <v>0</v>
      </c>
      <c r="I18" s="308">
        <v>0</v>
      </c>
      <c r="J18" s="308"/>
      <c r="K18" s="309">
        <v>5500</v>
      </c>
      <c r="L18" s="309">
        <f t="shared" si="6"/>
        <v>4125</v>
      </c>
      <c r="M18" s="309">
        <f t="shared" si="3"/>
        <v>16891.849999999999</v>
      </c>
      <c r="N18" s="311">
        <f t="shared" si="4"/>
        <v>4.0949939393939392</v>
      </c>
      <c r="O18" s="309">
        <v>16891.849999999999</v>
      </c>
      <c r="P18" s="311">
        <f t="shared" si="5"/>
        <v>4.0949939393939392</v>
      </c>
    </row>
    <row r="19" spans="1:16" x14ac:dyDescent="0.2">
      <c r="A19" s="303" t="s">
        <v>133</v>
      </c>
      <c r="B19" s="304" t="s">
        <v>134</v>
      </c>
      <c r="C19" s="308">
        <f>D19+E19+F19</f>
        <v>141821.54999999999</v>
      </c>
      <c r="D19" s="308">
        <v>1279.68</v>
      </c>
      <c r="E19" s="308">
        <v>140541.87</v>
      </c>
      <c r="F19" s="308"/>
      <c r="G19" s="308">
        <f t="shared" si="2"/>
        <v>94412</v>
      </c>
      <c r="H19" s="308">
        <v>1279.68</v>
      </c>
      <c r="I19" s="308">
        <v>93132.32</v>
      </c>
      <c r="J19" s="308"/>
      <c r="K19" s="309">
        <v>362933.69999999995</v>
      </c>
      <c r="L19" s="309">
        <f t="shared" si="6"/>
        <v>272200.28000000003</v>
      </c>
      <c r="M19" s="309">
        <f t="shared" si="3"/>
        <v>323771.83999999997</v>
      </c>
      <c r="N19" s="311">
        <f t="shared" si="4"/>
        <v>1.1894618183346466</v>
      </c>
      <c r="O19" s="309">
        <v>183229.97</v>
      </c>
      <c r="P19" s="311">
        <f t="shared" si="5"/>
        <v>0.67314394386368737</v>
      </c>
    </row>
    <row r="20" spans="1:16" s="302" customFormat="1" ht="12.75" customHeight="1" x14ac:dyDescent="0.2">
      <c r="A20" s="359" t="s">
        <v>135</v>
      </c>
      <c r="B20" s="360"/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1"/>
      <c r="P20" s="301"/>
    </row>
    <row r="21" spans="1:16" x14ac:dyDescent="0.2">
      <c r="A21" s="303" t="s">
        <v>121</v>
      </c>
      <c r="B21" s="304" t="s">
        <v>122</v>
      </c>
      <c r="C21" s="305">
        <f>SUM(C23:C28)</f>
        <v>699.4</v>
      </c>
      <c r="D21" s="305">
        <f>SUM(D23:D28)</f>
        <v>447.69</v>
      </c>
      <c r="E21" s="305">
        <f t="shared" ref="E21:O21" si="7">SUM(E23:E28)</f>
        <v>251.71</v>
      </c>
      <c r="F21" s="305">
        <f t="shared" si="7"/>
        <v>0</v>
      </c>
      <c r="G21" s="305">
        <f t="shared" si="7"/>
        <v>63.1</v>
      </c>
      <c r="H21" s="305">
        <f t="shared" si="7"/>
        <v>63.1</v>
      </c>
      <c r="I21" s="305">
        <f t="shared" si="7"/>
        <v>0</v>
      </c>
      <c r="J21" s="305">
        <f t="shared" si="7"/>
        <v>0</v>
      </c>
      <c r="K21" s="305">
        <f t="shared" si="7"/>
        <v>12318.4</v>
      </c>
      <c r="L21" s="305">
        <f t="shared" si="7"/>
        <v>9238.7999999999993</v>
      </c>
      <c r="M21" s="305">
        <f t="shared" si="7"/>
        <v>9387.9199999999983</v>
      </c>
      <c r="N21" s="306">
        <f>M21/L21</f>
        <v>1.0161406243235052</v>
      </c>
      <c r="O21" s="305">
        <f t="shared" si="7"/>
        <v>9136.2099999999991</v>
      </c>
      <c r="P21" s="306">
        <f>O21/L21</f>
        <v>0.98889574403602198</v>
      </c>
    </row>
    <row r="22" spans="1:16" x14ac:dyDescent="0.2">
      <c r="A22" s="303"/>
      <c r="B22" s="307" t="s">
        <v>107</v>
      </c>
      <c r="C22" s="308"/>
      <c r="D22" s="308"/>
      <c r="E22" s="308"/>
      <c r="F22" s="308"/>
      <c r="G22" s="308"/>
      <c r="H22" s="308"/>
      <c r="I22" s="308"/>
      <c r="J22" s="308"/>
      <c r="K22" s="309"/>
      <c r="L22" s="309"/>
      <c r="M22" s="309"/>
      <c r="N22" s="309"/>
      <c r="O22" s="309"/>
      <c r="P22" s="309"/>
    </row>
    <row r="23" spans="1:16" x14ac:dyDescent="0.2">
      <c r="A23" s="303" t="s">
        <v>123</v>
      </c>
      <c r="B23" s="310" t="s">
        <v>124</v>
      </c>
      <c r="C23" s="308">
        <f t="shared" ref="C23:C28" si="8">D23+E23+F23</f>
        <v>0</v>
      </c>
      <c r="D23" s="308">
        <v>0</v>
      </c>
      <c r="E23" s="308">
        <v>0</v>
      </c>
      <c r="F23" s="308"/>
      <c r="G23" s="308">
        <f t="shared" ref="G23:G28" si="9">H23+I23+J23</f>
        <v>0</v>
      </c>
      <c r="H23" s="308">
        <v>0</v>
      </c>
      <c r="I23" s="308">
        <v>0</v>
      </c>
      <c r="J23" s="308"/>
      <c r="K23" s="309">
        <v>0</v>
      </c>
      <c r="L23" s="309">
        <f>ROUND(K23/12*9,2)</f>
        <v>0</v>
      </c>
      <c r="M23" s="309">
        <f t="shared" ref="M23:M28" si="10">O23+E23</f>
        <v>19.34</v>
      </c>
      <c r="N23" s="311" t="e">
        <f t="shared" ref="N23:N28" si="11">M23/L23</f>
        <v>#DIV/0!</v>
      </c>
      <c r="O23" s="309">
        <v>19.34</v>
      </c>
      <c r="P23" s="311" t="e">
        <f t="shared" ref="P23:P28" si="12">O23/L23</f>
        <v>#DIV/0!</v>
      </c>
    </row>
    <row r="24" spans="1:16" ht="25.5" x14ac:dyDescent="0.2">
      <c r="A24" s="303" t="s">
        <v>125</v>
      </c>
      <c r="B24" s="310" t="s">
        <v>126</v>
      </c>
      <c r="C24" s="308">
        <f t="shared" si="8"/>
        <v>32.14</v>
      </c>
      <c r="D24" s="308">
        <v>27.44</v>
      </c>
      <c r="E24" s="308">
        <v>4.7</v>
      </c>
      <c r="F24" s="308"/>
      <c r="G24" s="308">
        <f t="shared" si="9"/>
        <v>0</v>
      </c>
      <c r="H24" s="308">
        <v>0</v>
      </c>
      <c r="I24" s="308">
        <v>0</v>
      </c>
      <c r="J24" s="308"/>
      <c r="K24" s="309">
        <v>0</v>
      </c>
      <c r="L24" s="309">
        <f t="shared" ref="L24:L28" si="13">ROUND(K24/12*9,2)</f>
        <v>0</v>
      </c>
      <c r="M24" s="309">
        <f t="shared" si="10"/>
        <v>29.74</v>
      </c>
      <c r="N24" s="311" t="e">
        <f t="shared" si="11"/>
        <v>#DIV/0!</v>
      </c>
      <c r="O24" s="309">
        <v>25.04</v>
      </c>
      <c r="P24" s="311" t="e">
        <f t="shared" si="12"/>
        <v>#DIV/0!</v>
      </c>
    </row>
    <row r="25" spans="1:16" x14ac:dyDescent="0.2">
      <c r="A25" s="303" t="s">
        <v>127</v>
      </c>
      <c r="B25" s="304" t="s">
        <v>128</v>
      </c>
      <c r="C25" s="308">
        <f t="shared" si="8"/>
        <v>359.18</v>
      </c>
      <c r="D25" s="308">
        <v>209.57</v>
      </c>
      <c r="E25" s="308">
        <v>149.61000000000001</v>
      </c>
      <c r="F25" s="308"/>
      <c r="G25" s="308">
        <f t="shared" si="9"/>
        <v>0</v>
      </c>
      <c r="H25" s="308">
        <v>0</v>
      </c>
      <c r="I25" s="308">
        <v>0</v>
      </c>
      <c r="J25" s="308"/>
      <c r="K25" s="309">
        <v>10337</v>
      </c>
      <c r="L25" s="309">
        <f t="shared" si="13"/>
        <v>7752.75</v>
      </c>
      <c r="M25" s="309">
        <f t="shared" si="10"/>
        <v>7086.2999999999993</v>
      </c>
      <c r="N25" s="311">
        <f t="shared" si="11"/>
        <v>0.91403695462900247</v>
      </c>
      <c r="O25" s="309">
        <v>6936.69</v>
      </c>
      <c r="P25" s="311">
        <f t="shared" si="12"/>
        <v>0.89473928605978514</v>
      </c>
    </row>
    <row r="26" spans="1:16" ht="25.5" x14ac:dyDescent="0.2">
      <c r="A26" s="312" t="s">
        <v>129</v>
      </c>
      <c r="B26" s="304" t="s">
        <v>130</v>
      </c>
      <c r="C26" s="308">
        <f t="shared" si="8"/>
        <v>98.339999999999989</v>
      </c>
      <c r="D26" s="308">
        <v>15.1</v>
      </c>
      <c r="E26" s="308">
        <v>83.24</v>
      </c>
      <c r="F26" s="308"/>
      <c r="G26" s="308">
        <f t="shared" si="9"/>
        <v>0</v>
      </c>
      <c r="H26" s="308">
        <v>0</v>
      </c>
      <c r="I26" s="308">
        <v>0</v>
      </c>
      <c r="J26" s="308"/>
      <c r="K26" s="309">
        <v>1736.4</v>
      </c>
      <c r="L26" s="309">
        <f t="shared" si="13"/>
        <v>1302.3</v>
      </c>
      <c r="M26" s="309">
        <f t="shared" si="10"/>
        <v>2055.7999999999997</v>
      </c>
      <c r="N26" s="311">
        <f t="shared" si="11"/>
        <v>1.5785917223374029</v>
      </c>
      <c r="O26" s="309">
        <v>1972.56</v>
      </c>
      <c r="P26" s="311">
        <f t="shared" si="12"/>
        <v>1.5146740382400368</v>
      </c>
    </row>
    <row r="27" spans="1:16" x14ac:dyDescent="0.2">
      <c r="A27" s="303" t="s">
        <v>131</v>
      </c>
      <c r="B27" s="304" t="s">
        <v>132</v>
      </c>
      <c r="C27" s="308">
        <f t="shared" si="8"/>
        <v>0</v>
      </c>
      <c r="D27" s="308">
        <v>0</v>
      </c>
      <c r="E27" s="308">
        <v>0</v>
      </c>
      <c r="F27" s="308"/>
      <c r="G27" s="308">
        <f t="shared" si="9"/>
        <v>0</v>
      </c>
      <c r="H27" s="308">
        <v>0</v>
      </c>
      <c r="I27" s="308">
        <v>0</v>
      </c>
      <c r="J27" s="308"/>
      <c r="K27" s="309">
        <v>0</v>
      </c>
      <c r="L27" s="309">
        <f t="shared" si="13"/>
        <v>0</v>
      </c>
      <c r="M27" s="309">
        <f t="shared" si="10"/>
        <v>0</v>
      </c>
      <c r="N27" s="311" t="e">
        <f t="shared" si="11"/>
        <v>#DIV/0!</v>
      </c>
      <c r="O27" s="309">
        <v>0</v>
      </c>
      <c r="P27" s="311" t="e">
        <f t="shared" si="12"/>
        <v>#DIV/0!</v>
      </c>
    </row>
    <row r="28" spans="1:16" x14ac:dyDescent="0.2">
      <c r="A28" s="303" t="s">
        <v>133</v>
      </c>
      <c r="B28" s="304" t="s">
        <v>134</v>
      </c>
      <c r="C28" s="308">
        <f t="shared" si="8"/>
        <v>209.74</v>
      </c>
      <c r="D28" s="308">
        <v>195.58</v>
      </c>
      <c r="E28" s="308">
        <v>14.16</v>
      </c>
      <c r="F28" s="308"/>
      <c r="G28" s="308">
        <f t="shared" si="9"/>
        <v>63.1</v>
      </c>
      <c r="H28" s="308">
        <v>63.1</v>
      </c>
      <c r="I28" s="308">
        <v>0</v>
      </c>
      <c r="J28" s="308"/>
      <c r="K28" s="309">
        <v>245</v>
      </c>
      <c r="L28" s="309">
        <f t="shared" si="13"/>
        <v>183.75</v>
      </c>
      <c r="M28" s="309">
        <f t="shared" si="10"/>
        <v>196.74</v>
      </c>
      <c r="N28" s="311">
        <f t="shared" si="11"/>
        <v>1.0706938775510204</v>
      </c>
      <c r="O28" s="309">
        <v>182.58</v>
      </c>
      <c r="P28" s="311">
        <f t="shared" si="12"/>
        <v>0.99363265306122461</v>
      </c>
    </row>
    <row r="29" spans="1:16" s="302" customFormat="1" ht="12.75" customHeight="1" x14ac:dyDescent="0.2">
      <c r="A29" s="359" t="s">
        <v>16</v>
      </c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1"/>
      <c r="P29" s="301"/>
    </row>
    <row r="30" spans="1:16" x14ac:dyDescent="0.2">
      <c r="A30" s="303" t="s">
        <v>121</v>
      </c>
      <c r="B30" s="304" t="s">
        <v>122</v>
      </c>
      <c r="C30" s="305">
        <f>SUM(C32:C37)</f>
        <v>88686.229999999981</v>
      </c>
      <c r="D30" s="305">
        <f>SUM(D32:D37)</f>
        <v>24684.059999999998</v>
      </c>
      <c r="E30" s="305">
        <f t="shared" ref="E30:O30" si="14">SUM(E32:E37)</f>
        <v>61862.509999999995</v>
      </c>
      <c r="F30" s="305">
        <f t="shared" si="14"/>
        <v>2139.66</v>
      </c>
      <c r="G30" s="305">
        <f t="shared" si="14"/>
        <v>27591.620000000003</v>
      </c>
      <c r="H30" s="305">
        <f t="shared" si="14"/>
        <v>2665.4700000000003</v>
      </c>
      <c r="I30" s="305">
        <f t="shared" si="14"/>
        <v>24008.47</v>
      </c>
      <c r="J30" s="305">
        <f t="shared" si="14"/>
        <v>917.68000000000006</v>
      </c>
      <c r="K30" s="305">
        <f t="shared" si="14"/>
        <v>637553.69999999995</v>
      </c>
      <c r="L30" s="305">
        <f t="shared" si="14"/>
        <v>478165.29</v>
      </c>
      <c r="M30" s="305">
        <f t="shared" si="14"/>
        <v>597096.71</v>
      </c>
      <c r="N30" s="306">
        <f>M30/L30</f>
        <v>1.248724494410709</v>
      </c>
      <c r="O30" s="305">
        <f t="shared" si="14"/>
        <v>535234.19999999995</v>
      </c>
      <c r="P30" s="306">
        <f>O30/L30</f>
        <v>1.1193497545587217</v>
      </c>
    </row>
    <row r="31" spans="1:16" x14ac:dyDescent="0.2">
      <c r="A31" s="303"/>
      <c r="B31" s="307" t="s">
        <v>107</v>
      </c>
      <c r="C31" s="308"/>
      <c r="D31" s="308"/>
      <c r="E31" s="308"/>
      <c r="F31" s="308"/>
      <c r="G31" s="308"/>
      <c r="H31" s="308"/>
      <c r="I31" s="308"/>
      <c r="J31" s="309"/>
      <c r="K31" s="309"/>
      <c r="L31" s="309"/>
      <c r="M31" s="309"/>
      <c r="N31" s="309"/>
      <c r="O31" s="309"/>
      <c r="P31" s="309"/>
    </row>
    <row r="32" spans="1:16" x14ac:dyDescent="0.2">
      <c r="A32" s="303" t="s">
        <v>123</v>
      </c>
      <c r="B32" s="310" t="s">
        <v>124</v>
      </c>
      <c r="C32" s="308">
        <f t="shared" ref="C32:C37" si="15">D32+E32+F32</f>
        <v>1392.4399999999998</v>
      </c>
      <c r="D32" s="308">
        <v>2.87</v>
      </c>
      <c r="E32" s="308">
        <v>1389.57</v>
      </c>
      <c r="F32" s="308">
        <v>0</v>
      </c>
      <c r="G32" s="308">
        <f t="shared" ref="G32:G37" si="16">H32+I32+J32</f>
        <v>0</v>
      </c>
      <c r="H32" s="308">
        <v>0</v>
      </c>
      <c r="I32" s="308">
        <v>0</v>
      </c>
      <c r="J32" s="309">
        <v>0</v>
      </c>
      <c r="K32" s="309">
        <v>15621.3</v>
      </c>
      <c r="L32" s="309">
        <f>ROUND(K32/12*9,2)</f>
        <v>11715.98</v>
      </c>
      <c r="M32" s="309">
        <f t="shared" ref="M32:M37" si="17">O32+E32</f>
        <v>14577.59</v>
      </c>
      <c r="N32" s="311">
        <f t="shared" ref="N32:N37" si="18">M32/L32</f>
        <v>1.2442484538211913</v>
      </c>
      <c r="O32" s="309">
        <v>13188.02</v>
      </c>
      <c r="P32" s="311">
        <f t="shared" ref="P32:P37" si="19">O32/L32</f>
        <v>1.1256437788388167</v>
      </c>
    </row>
    <row r="33" spans="1:16" ht="25.5" x14ac:dyDescent="0.2">
      <c r="A33" s="303" t="s">
        <v>125</v>
      </c>
      <c r="B33" s="310" t="s">
        <v>126</v>
      </c>
      <c r="C33" s="308">
        <f t="shared" si="15"/>
        <v>976.77</v>
      </c>
      <c r="D33" s="308">
        <v>8</v>
      </c>
      <c r="E33" s="308">
        <v>959.77</v>
      </c>
      <c r="F33" s="308">
        <v>9</v>
      </c>
      <c r="G33" s="308">
        <f t="shared" si="16"/>
        <v>814.87</v>
      </c>
      <c r="H33" s="308">
        <v>0</v>
      </c>
      <c r="I33" s="308">
        <v>814.87</v>
      </c>
      <c r="J33" s="309">
        <v>0</v>
      </c>
      <c r="K33" s="309">
        <v>6900</v>
      </c>
      <c r="L33" s="309">
        <f t="shared" ref="L33:L37" si="20">ROUND(K33/12*9,2)</f>
        <v>5175</v>
      </c>
      <c r="M33" s="309">
        <f t="shared" si="17"/>
        <v>7174.3700000000008</v>
      </c>
      <c r="N33" s="311">
        <f t="shared" si="18"/>
        <v>1.3863516908212561</v>
      </c>
      <c r="O33" s="309">
        <v>6214.6</v>
      </c>
      <c r="P33" s="311">
        <f t="shared" si="19"/>
        <v>1.2008888888888889</v>
      </c>
    </row>
    <row r="34" spans="1:16" x14ac:dyDescent="0.2">
      <c r="A34" s="303" t="s">
        <v>127</v>
      </c>
      <c r="B34" s="304" t="s">
        <v>128</v>
      </c>
      <c r="C34" s="308">
        <f t="shared" si="15"/>
        <v>42124.349999999991</v>
      </c>
      <c r="D34" s="308">
        <v>19720.14</v>
      </c>
      <c r="E34" s="308">
        <v>21501.51</v>
      </c>
      <c r="F34" s="308">
        <v>902.7</v>
      </c>
      <c r="G34" s="308">
        <f t="shared" si="16"/>
        <v>88.95</v>
      </c>
      <c r="H34" s="308">
        <v>0</v>
      </c>
      <c r="I34" s="308">
        <v>0</v>
      </c>
      <c r="J34" s="309">
        <v>88.95</v>
      </c>
      <c r="K34" s="309">
        <v>443956</v>
      </c>
      <c r="L34" s="309">
        <f t="shared" si="20"/>
        <v>332967</v>
      </c>
      <c r="M34" s="309">
        <f t="shared" si="17"/>
        <v>373069.51</v>
      </c>
      <c r="N34" s="311">
        <f t="shared" si="18"/>
        <v>1.1204398934428939</v>
      </c>
      <c r="O34" s="309">
        <v>351568</v>
      </c>
      <c r="P34" s="311">
        <f t="shared" si="19"/>
        <v>1.0558643949700721</v>
      </c>
    </row>
    <row r="35" spans="1:16" ht="25.5" x14ac:dyDescent="0.2">
      <c r="A35" s="312" t="s">
        <v>129</v>
      </c>
      <c r="B35" s="304" t="s">
        <v>130</v>
      </c>
      <c r="C35" s="308">
        <f t="shared" si="15"/>
        <v>32064.61</v>
      </c>
      <c r="D35" s="308">
        <v>3808.87</v>
      </c>
      <c r="E35" s="308">
        <v>27376.38</v>
      </c>
      <c r="F35" s="308">
        <v>879.36</v>
      </c>
      <c r="G35" s="308">
        <f t="shared" si="16"/>
        <v>22289.81</v>
      </c>
      <c r="H35" s="308">
        <v>2120.09</v>
      </c>
      <c r="I35" s="308">
        <v>19340.990000000002</v>
      </c>
      <c r="J35" s="309">
        <v>828.73</v>
      </c>
      <c r="K35" s="309">
        <v>100405.3</v>
      </c>
      <c r="L35" s="309">
        <f t="shared" si="20"/>
        <v>75303.98</v>
      </c>
      <c r="M35" s="309">
        <f t="shared" si="17"/>
        <v>144235.76999999999</v>
      </c>
      <c r="N35" s="311">
        <f t="shared" si="18"/>
        <v>1.9153804354032815</v>
      </c>
      <c r="O35" s="309">
        <v>116859.39</v>
      </c>
      <c r="P35" s="311">
        <f t="shared" si="19"/>
        <v>1.5518355072334822</v>
      </c>
    </row>
    <row r="36" spans="1:16" x14ac:dyDescent="0.2">
      <c r="A36" s="303" t="s">
        <v>131</v>
      </c>
      <c r="B36" s="304" t="s">
        <v>132</v>
      </c>
      <c r="C36" s="308">
        <f t="shared" si="15"/>
        <v>629.15</v>
      </c>
      <c r="D36" s="308">
        <v>0</v>
      </c>
      <c r="E36" s="308">
        <v>629.15</v>
      </c>
      <c r="F36" s="308">
        <v>0</v>
      </c>
      <c r="G36" s="308">
        <f t="shared" si="16"/>
        <v>0</v>
      </c>
      <c r="H36" s="308">
        <v>0</v>
      </c>
      <c r="I36" s="308">
        <v>0</v>
      </c>
      <c r="J36" s="309">
        <v>0</v>
      </c>
      <c r="K36" s="309">
        <v>0</v>
      </c>
      <c r="L36" s="309">
        <f t="shared" si="20"/>
        <v>0</v>
      </c>
      <c r="M36" s="309">
        <f t="shared" si="17"/>
        <v>2439.2599999999998</v>
      </c>
      <c r="N36" s="311" t="e">
        <f t="shared" si="18"/>
        <v>#DIV/0!</v>
      </c>
      <c r="O36" s="309">
        <v>1810.11</v>
      </c>
      <c r="P36" s="311" t="e">
        <f t="shared" si="19"/>
        <v>#DIV/0!</v>
      </c>
    </row>
    <row r="37" spans="1:16" x14ac:dyDescent="0.2">
      <c r="A37" s="303" t="s">
        <v>133</v>
      </c>
      <c r="B37" s="304" t="s">
        <v>134</v>
      </c>
      <c r="C37" s="308">
        <f t="shared" si="15"/>
        <v>11498.91</v>
      </c>
      <c r="D37" s="308">
        <v>1144.18</v>
      </c>
      <c r="E37" s="308">
        <v>10006.129999999999</v>
      </c>
      <c r="F37" s="308">
        <v>348.6</v>
      </c>
      <c r="G37" s="308">
        <f t="shared" si="16"/>
        <v>4397.99</v>
      </c>
      <c r="H37" s="308">
        <v>545.38</v>
      </c>
      <c r="I37" s="308">
        <v>3852.61</v>
      </c>
      <c r="J37" s="309">
        <v>0</v>
      </c>
      <c r="K37" s="309">
        <v>70671.099999999977</v>
      </c>
      <c r="L37" s="309">
        <f t="shared" si="20"/>
        <v>53003.33</v>
      </c>
      <c r="M37" s="309">
        <f t="shared" si="17"/>
        <v>55600.21</v>
      </c>
      <c r="N37" s="311">
        <f t="shared" si="18"/>
        <v>1.0489946575054812</v>
      </c>
      <c r="O37" s="309">
        <v>45594.080000000002</v>
      </c>
      <c r="P37" s="311">
        <f t="shared" si="19"/>
        <v>0.86021161311940209</v>
      </c>
    </row>
    <row r="38" spans="1:16" s="302" customFormat="1" ht="13.15" customHeight="1" x14ac:dyDescent="0.2">
      <c r="A38" s="359" t="s">
        <v>17</v>
      </c>
      <c r="B38" s="360"/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0"/>
      <c r="O38" s="361"/>
      <c r="P38" s="301"/>
    </row>
    <row r="39" spans="1:16" x14ac:dyDescent="0.2">
      <c r="A39" s="303" t="s">
        <v>121</v>
      </c>
      <c r="B39" s="304" t="s">
        <v>122</v>
      </c>
      <c r="C39" s="305">
        <f>SUM(C41:C46)</f>
        <v>90590.13</v>
      </c>
      <c r="D39" s="305">
        <f>SUM(D41:D46)</f>
        <v>7499.7899999999991</v>
      </c>
      <c r="E39" s="305">
        <f t="shared" ref="E39:O39" si="21">SUM(E41:E46)</f>
        <v>82709.570000000007</v>
      </c>
      <c r="F39" s="305">
        <f t="shared" si="21"/>
        <v>380.77</v>
      </c>
      <c r="G39" s="305">
        <f t="shared" si="21"/>
        <v>65184.160000000003</v>
      </c>
      <c r="H39" s="305">
        <f t="shared" si="21"/>
        <v>1796.81</v>
      </c>
      <c r="I39" s="305">
        <f t="shared" si="21"/>
        <v>63387.350000000006</v>
      </c>
      <c r="J39" s="305">
        <f t="shared" si="21"/>
        <v>0</v>
      </c>
      <c r="K39" s="305">
        <f t="shared" si="21"/>
        <v>433967.51</v>
      </c>
      <c r="L39" s="305">
        <f t="shared" si="21"/>
        <v>325475.64</v>
      </c>
      <c r="M39" s="305">
        <f t="shared" si="21"/>
        <v>397715.61</v>
      </c>
      <c r="N39" s="306">
        <f>M39/L39</f>
        <v>1.221952002306532</v>
      </c>
      <c r="O39" s="305">
        <f t="shared" si="21"/>
        <v>315006.03999999998</v>
      </c>
      <c r="P39" s="306">
        <f>O39/L39</f>
        <v>0.96783292291859369</v>
      </c>
    </row>
    <row r="40" spans="1:16" x14ac:dyDescent="0.2">
      <c r="A40" s="303"/>
      <c r="B40" s="307" t="s">
        <v>107</v>
      </c>
      <c r="C40" s="308"/>
      <c r="D40" s="308"/>
      <c r="E40" s="308"/>
      <c r="F40" s="308"/>
      <c r="G40" s="308"/>
      <c r="H40" s="308"/>
      <c r="I40" s="308"/>
      <c r="J40" s="308"/>
      <c r="K40" s="309"/>
      <c r="L40" s="309"/>
      <c r="M40" s="309"/>
      <c r="N40" s="309"/>
      <c r="O40" s="309"/>
      <c r="P40" s="309"/>
    </row>
    <row r="41" spans="1:16" x14ac:dyDescent="0.2">
      <c r="A41" s="303" t="s">
        <v>123</v>
      </c>
      <c r="B41" s="310" t="s">
        <v>124</v>
      </c>
      <c r="C41" s="308">
        <f t="shared" ref="C41:C46" si="22">D41+E41+F41</f>
        <v>5351.99</v>
      </c>
      <c r="D41" s="308">
        <v>153.32</v>
      </c>
      <c r="E41" s="308">
        <v>5198.67</v>
      </c>
      <c r="F41" s="308">
        <v>0</v>
      </c>
      <c r="G41" s="308">
        <f t="shared" ref="G41:G46" si="23">H41+I41+J41</f>
        <v>4327.4799999999996</v>
      </c>
      <c r="H41" s="308">
        <v>0</v>
      </c>
      <c r="I41" s="308">
        <v>4327.4799999999996</v>
      </c>
      <c r="J41" s="308"/>
      <c r="K41" s="309">
        <v>0</v>
      </c>
      <c r="L41" s="309">
        <f>ROUND(K41/12*9,2)</f>
        <v>0</v>
      </c>
      <c r="M41" s="309">
        <f t="shared" ref="M41:M46" si="24">O41+E41</f>
        <v>5198.67</v>
      </c>
      <c r="N41" s="311" t="e">
        <f t="shared" ref="N41:N46" si="25">M41/L41</f>
        <v>#DIV/0!</v>
      </c>
      <c r="O41" s="309">
        <v>0</v>
      </c>
      <c r="P41" s="311" t="e">
        <f t="shared" ref="P41:P46" si="26">O41/L41</f>
        <v>#DIV/0!</v>
      </c>
    </row>
    <row r="42" spans="1:16" ht="25.5" x14ac:dyDescent="0.2">
      <c r="A42" s="303" t="s">
        <v>125</v>
      </c>
      <c r="B42" s="310" t="s">
        <v>126</v>
      </c>
      <c r="C42" s="308">
        <f t="shared" si="22"/>
        <v>233.68</v>
      </c>
      <c r="D42" s="308">
        <v>123.87</v>
      </c>
      <c r="E42" s="308">
        <v>43.54</v>
      </c>
      <c r="F42" s="308">
        <v>66.27</v>
      </c>
      <c r="G42" s="308">
        <f t="shared" si="23"/>
        <v>0</v>
      </c>
      <c r="H42" s="308">
        <v>0</v>
      </c>
      <c r="I42" s="308">
        <v>0</v>
      </c>
      <c r="J42" s="308"/>
      <c r="K42" s="309">
        <v>700</v>
      </c>
      <c r="L42" s="309">
        <f t="shared" ref="L42:L46" si="27">ROUND(K42/12*9,2)</f>
        <v>525</v>
      </c>
      <c r="M42" s="309">
        <f t="shared" si="24"/>
        <v>1401.1</v>
      </c>
      <c r="N42" s="311">
        <f t="shared" si="25"/>
        <v>2.6687619047619044</v>
      </c>
      <c r="O42" s="309">
        <v>1357.56</v>
      </c>
      <c r="P42" s="311">
        <f t="shared" si="26"/>
        <v>2.5858285714285714</v>
      </c>
    </row>
    <row r="43" spans="1:16" x14ac:dyDescent="0.2">
      <c r="A43" s="303" t="s">
        <v>127</v>
      </c>
      <c r="B43" s="304" t="s">
        <v>128</v>
      </c>
      <c r="C43" s="308">
        <f t="shared" si="22"/>
        <v>11343.67</v>
      </c>
      <c r="D43" s="308">
        <v>2026.22</v>
      </c>
      <c r="E43" s="308">
        <v>9247.42</v>
      </c>
      <c r="F43" s="308">
        <v>70.03</v>
      </c>
      <c r="G43" s="308">
        <f t="shared" si="23"/>
        <v>0</v>
      </c>
      <c r="H43" s="308">
        <v>0</v>
      </c>
      <c r="I43" s="308">
        <v>0</v>
      </c>
      <c r="J43" s="308"/>
      <c r="K43" s="309">
        <v>336875.13</v>
      </c>
      <c r="L43" s="309">
        <f t="shared" si="27"/>
        <v>252656.35</v>
      </c>
      <c r="M43" s="309">
        <f t="shared" si="24"/>
        <v>267633.40999999997</v>
      </c>
      <c r="N43" s="311">
        <f t="shared" si="25"/>
        <v>1.059278383464338</v>
      </c>
      <c r="O43" s="309">
        <v>258385.99</v>
      </c>
      <c r="P43" s="311">
        <f t="shared" si="26"/>
        <v>1.0226776014139363</v>
      </c>
    </row>
    <row r="44" spans="1:16" ht="25.5" x14ac:dyDescent="0.2">
      <c r="A44" s="312" t="s">
        <v>129</v>
      </c>
      <c r="B44" s="304" t="s">
        <v>130</v>
      </c>
      <c r="C44" s="308">
        <f t="shared" si="22"/>
        <v>67100.740000000005</v>
      </c>
      <c r="D44" s="308">
        <v>1054.31</v>
      </c>
      <c r="E44" s="308">
        <v>65935.97</v>
      </c>
      <c r="F44" s="308">
        <v>110.46</v>
      </c>
      <c r="G44" s="308">
        <f t="shared" si="23"/>
        <v>59059.87</v>
      </c>
      <c r="H44" s="308">
        <v>0</v>
      </c>
      <c r="I44" s="308">
        <v>59059.87</v>
      </c>
      <c r="J44" s="308"/>
      <c r="K44" s="309">
        <v>54919.88</v>
      </c>
      <c r="L44" s="309">
        <f t="shared" si="27"/>
        <v>41189.910000000003</v>
      </c>
      <c r="M44" s="309">
        <f t="shared" si="24"/>
        <v>104822.87</v>
      </c>
      <c r="N44" s="311">
        <f t="shared" si="25"/>
        <v>2.5448676629786271</v>
      </c>
      <c r="O44" s="309">
        <v>38886.9</v>
      </c>
      <c r="P44" s="311">
        <f t="shared" si="26"/>
        <v>0.94408800601894971</v>
      </c>
    </row>
    <row r="45" spans="1:16" x14ac:dyDescent="0.2">
      <c r="A45" s="303" t="s">
        <v>131</v>
      </c>
      <c r="B45" s="304" t="s">
        <v>132</v>
      </c>
      <c r="C45" s="308">
        <f t="shared" si="22"/>
        <v>338.21000000000004</v>
      </c>
      <c r="D45" s="308">
        <v>21.16</v>
      </c>
      <c r="E45" s="308">
        <v>317.05</v>
      </c>
      <c r="F45" s="308">
        <v>0</v>
      </c>
      <c r="G45" s="308">
        <f t="shared" si="23"/>
        <v>0</v>
      </c>
      <c r="H45" s="308">
        <v>0</v>
      </c>
      <c r="I45" s="308">
        <v>0</v>
      </c>
      <c r="J45" s="308"/>
      <c r="K45" s="309">
        <v>0</v>
      </c>
      <c r="L45" s="309">
        <f t="shared" si="27"/>
        <v>0</v>
      </c>
      <c r="M45" s="309">
        <f t="shared" si="24"/>
        <v>420.52</v>
      </c>
      <c r="N45" s="311" t="e">
        <f t="shared" si="25"/>
        <v>#DIV/0!</v>
      </c>
      <c r="O45" s="309">
        <v>103.47</v>
      </c>
      <c r="P45" s="311" t="e">
        <f t="shared" si="26"/>
        <v>#DIV/0!</v>
      </c>
    </row>
    <row r="46" spans="1:16" x14ac:dyDescent="0.2">
      <c r="A46" s="303" t="s">
        <v>133</v>
      </c>
      <c r="B46" s="304" t="s">
        <v>134</v>
      </c>
      <c r="C46" s="308">
        <f t="shared" si="22"/>
        <v>6221.84</v>
      </c>
      <c r="D46" s="308">
        <v>4120.91</v>
      </c>
      <c r="E46" s="308">
        <v>1966.92</v>
      </c>
      <c r="F46" s="308">
        <v>134.01</v>
      </c>
      <c r="G46" s="308">
        <f t="shared" si="23"/>
        <v>1796.81</v>
      </c>
      <c r="H46" s="308">
        <v>1796.81</v>
      </c>
      <c r="I46" s="308">
        <v>0</v>
      </c>
      <c r="J46" s="308"/>
      <c r="K46" s="309">
        <v>41472.5</v>
      </c>
      <c r="L46" s="309">
        <f t="shared" si="27"/>
        <v>31104.38</v>
      </c>
      <c r="M46" s="309">
        <f t="shared" si="24"/>
        <v>18239.04</v>
      </c>
      <c r="N46" s="311">
        <f t="shared" si="25"/>
        <v>0.58638172501750563</v>
      </c>
      <c r="O46" s="309">
        <v>16272.12</v>
      </c>
      <c r="P46" s="311">
        <f t="shared" si="26"/>
        <v>0.52314561486195832</v>
      </c>
    </row>
    <row r="47" spans="1:16" s="302" customFormat="1" ht="13.15" customHeight="1" x14ac:dyDescent="0.2">
      <c r="A47" s="359" t="s">
        <v>18</v>
      </c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360"/>
      <c r="O47" s="361"/>
      <c r="P47" s="301"/>
    </row>
    <row r="48" spans="1:16" x14ac:dyDescent="0.2">
      <c r="A48" s="303" t="s">
        <v>121</v>
      </c>
      <c r="B48" s="304" t="s">
        <v>122</v>
      </c>
      <c r="C48" s="305">
        <f>SUM(C50:C55)</f>
        <v>16312.06</v>
      </c>
      <c r="D48" s="305">
        <f>SUM(D50:D55)</f>
        <v>1562.0600000000002</v>
      </c>
      <c r="E48" s="305">
        <f t="shared" ref="E48:O48" si="28">SUM(E50:E55)</f>
        <v>13850.82</v>
      </c>
      <c r="F48" s="305">
        <f t="shared" si="28"/>
        <v>899.18</v>
      </c>
      <c r="G48" s="305">
        <f t="shared" si="28"/>
        <v>11006.050000000001</v>
      </c>
      <c r="H48" s="305">
        <f t="shared" si="28"/>
        <v>0</v>
      </c>
      <c r="I48" s="305">
        <f t="shared" si="28"/>
        <v>11006.050000000001</v>
      </c>
      <c r="J48" s="305">
        <f t="shared" si="28"/>
        <v>0</v>
      </c>
      <c r="K48" s="305">
        <f t="shared" si="28"/>
        <v>42389.96</v>
      </c>
      <c r="L48" s="305">
        <f t="shared" si="28"/>
        <v>31792.47</v>
      </c>
      <c r="M48" s="305">
        <f t="shared" si="28"/>
        <v>47090.78</v>
      </c>
      <c r="N48" s="306">
        <f>M48/L48</f>
        <v>1.4811928736584479</v>
      </c>
      <c r="O48" s="305">
        <f t="shared" si="28"/>
        <v>33239.96</v>
      </c>
      <c r="P48" s="306">
        <f>O48/L48</f>
        <v>1.0455293344619023</v>
      </c>
    </row>
    <row r="49" spans="1:16" x14ac:dyDescent="0.2">
      <c r="A49" s="303"/>
      <c r="B49" s="307" t="s">
        <v>107</v>
      </c>
      <c r="C49" s="308"/>
      <c r="D49" s="308"/>
      <c r="E49" s="308"/>
      <c r="F49" s="308"/>
      <c r="G49" s="308"/>
      <c r="H49" s="308"/>
      <c r="I49" s="308"/>
      <c r="J49" s="308"/>
      <c r="K49" s="309"/>
      <c r="L49" s="309"/>
      <c r="M49" s="309"/>
      <c r="N49" s="309"/>
      <c r="O49" s="309"/>
      <c r="P49" s="309"/>
    </row>
    <row r="50" spans="1:16" x14ac:dyDescent="0.2">
      <c r="A50" s="303" t="s">
        <v>123</v>
      </c>
      <c r="B50" s="310" t="s">
        <v>124</v>
      </c>
      <c r="C50" s="308">
        <f t="shared" ref="C50:C55" si="29">D50+E50+F50</f>
        <v>83.98</v>
      </c>
      <c r="D50" s="308">
        <v>74.23</v>
      </c>
      <c r="E50" s="308">
        <v>9.75</v>
      </c>
      <c r="F50" s="308">
        <v>0</v>
      </c>
      <c r="G50" s="308">
        <f t="shared" ref="G50:G55" si="30">H50+I50+J50</f>
        <v>9.75</v>
      </c>
      <c r="H50" s="308">
        <v>0</v>
      </c>
      <c r="I50" s="308">
        <v>9.75</v>
      </c>
      <c r="J50" s="308"/>
      <c r="K50" s="309">
        <v>0</v>
      </c>
      <c r="L50" s="309">
        <f>ROUND(K50/12*9,2)</f>
        <v>0</v>
      </c>
      <c r="M50" s="309">
        <f t="shared" ref="M50:M55" si="31">O50+E50</f>
        <v>9.75</v>
      </c>
      <c r="N50" s="311" t="e">
        <f t="shared" ref="N50:N55" si="32">M50/L50</f>
        <v>#DIV/0!</v>
      </c>
      <c r="O50" s="309">
        <v>0</v>
      </c>
      <c r="P50" s="311" t="e">
        <f t="shared" ref="P50:P55" si="33">O50/L50</f>
        <v>#DIV/0!</v>
      </c>
    </row>
    <row r="51" spans="1:16" ht="25.5" x14ac:dyDescent="0.2">
      <c r="A51" s="303" t="s">
        <v>125</v>
      </c>
      <c r="B51" s="310" t="s">
        <v>126</v>
      </c>
      <c r="C51" s="308">
        <f t="shared" si="29"/>
        <v>302.14</v>
      </c>
      <c r="D51" s="308">
        <v>13</v>
      </c>
      <c r="E51" s="308">
        <v>99.25</v>
      </c>
      <c r="F51" s="308">
        <v>189.89</v>
      </c>
      <c r="G51" s="308">
        <f t="shared" si="30"/>
        <v>89.29</v>
      </c>
      <c r="H51" s="308">
        <v>0</v>
      </c>
      <c r="I51" s="308">
        <v>89.29</v>
      </c>
      <c r="J51" s="308"/>
      <c r="K51" s="309">
        <v>0</v>
      </c>
      <c r="L51" s="309">
        <f t="shared" ref="L51:L55" si="34">ROUND(K51/12*9,2)</f>
        <v>0</v>
      </c>
      <c r="M51" s="309">
        <f t="shared" si="31"/>
        <v>99.25</v>
      </c>
      <c r="N51" s="311" t="e">
        <f t="shared" si="32"/>
        <v>#DIV/0!</v>
      </c>
      <c r="O51" s="309">
        <v>0</v>
      </c>
      <c r="P51" s="311" t="e">
        <f t="shared" si="33"/>
        <v>#DIV/0!</v>
      </c>
    </row>
    <row r="52" spans="1:16" x14ac:dyDescent="0.2">
      <c r="A52" s="303" t="s">
        <v>127</v>
      </c>
      <c r="B52" s="304" t="s">
        <v>128</v>
      </c>
      <c r="C52" s="308">
        <f t="shared" si="29"/>
        <v>3007.5499999999997</v>
      </c>
      <c r="D52" s="308">
        <v>1095.1300000000001</v>
      </c>
      <c r="E52" s="308">
        <v>1816.24</v>
      </c>
      <c r="F52" s="308">
        <v>96.18</v>
      </c>
      <c r="G52" s="308">
        <f t="shared" si="30"/>
        <v>0</v>
      </c>
      <c r="H52" s="308">
        <v>0</v>
      </c>
      <c r="I52" s="308">
        <v>0</v>
      </c>
      <c r="J52" s="308"/>
      <c r="K52" s="309">
        <v>41668.660000000003</v>
      </c>
      <c r="L52" s="309">
        <f t="shared" si="34"/>
        <v>31251.5</v>
      </c>
      <c r="M52" s="309">
        <f t="shared" si="31"/>
        <v>32726.25</v>
      </c>
      <c r="N52" s="311">
        <f t="shared" si="32"/>
        <v>1.047189734892725</v>
      </c>
      <c r="O52" s="309">
        <v>30910.01</v>
      </c>
      <c r="P52" s="311">
        <f t="shared" si="33"/>
        <v>0.98907284450346378</v>
      </c>
    </row>
    <row r="53" spans="1:16" ht="25.5" x14ac:dyDescent="0.2">
      <c r="A53" s="312" t="s">
        <v>129</v>
      </c>
      <c r="B53" s="304" t="s">
        <v>130</v>
      </c>
      <c r="C53" s="308">
        <f t="shared" si="29"/>
        <v>12555.019999999999</v>
      </c>
      <c r="D53" s="308">
        <v>288.55</v>
      </c>
      <c r="E53" s="308">
        <v>11679.25</v>
      </c>
      <c r="F53" s="308">
        <v>587.22</v>
      </c>
      <c r="G53" s="308">
        <f t="shared" si="30"/>
        <v>10768.39</v>
      </c>
      <c r="H53" s="308">
        <v>0</v>
      </c>
      <c r="I53" s="308">
        <v>10768.39</v>
      </c>
      <c r="J53" s="308"/>
      <c r="K53" s="309">
        <v>0</v>
      </c>
      <c r="L53" s="309">
        <f t="shared" si="34"/>
        <v>0</v>
      </c>
      <c r="M53" s="309">
        <f t="shared" si="31"/>
        <v>12976.82</v>
      </c>
      <c r="N53" s="311" t="e">
        <f t="shared" si="32"/>
        <v>#DIV/0!</v>
      </c>
      <c r="O53" s="309">
        <v>1297.57</v>
      </c>
      <c r="P53" s="311" t="e">
        <f t="shared" si="33"/>
        <v>#DIV/0!</v>
      </c>
    </row>
    <row r="54" spans="1:16" x14ac:dyDescent="0.2">
      <c r="A54" s="303" t="s">
        <v>131</v>
      </c>
      <c r="B54" s="304" t="s">
        <v>132</v>
      </c>
      <c r="C54" s="308">
        <f t="shared" si="29"/>
        <v>71.599999999999994</v>
      </c>
      <c r="D54" s="308">
        <v>0</v>
      </c>
      <c r="E54" s="308">
        <v>71.599999999999994</v>
      </c>
      <c r="F54" s="308">
        <v>0</v>
      </c>
      <c r="G54" s="308">
        <f t="shared" si="30"/>
        <v>71.599999999999994</v>
      </c>
      <c r="H54" s="308">
        <v>0</v>
      </c>
      <c r="I54" s="308">
        <v>71.599999999999994</v>
      </c>
      <c r="J54" s="308"/>
      <c r="K54" s="309">
        <v>0</v>
      </c>
      <c r="L54" s="309">
        <f t="shared" si="34"/>
        <v>0</v>
      </c>
      <c r="M54" s="309">
        <f t="shared" si="31"/>
        <v>71.599999999999994</v>
      </c>
      <c r="N54" s="311" t="e">
        <f t="shared" si="32"/>
        <v>#DIV/0!</v>
      </c>
      <c r="O54" s="309">
        <v>0</v>
      </c>
      <c r="P54" s="311" t="e">
        <f t="shared" si="33"/>
        <v>#DIV/0!</v>
      </c>
    </row>
    <row r="55" spans="1:16" x14ac:dyDescent="0.2">
      <c r="A55" s="303" t="s">
        <v>133</v>
      </c>
      <c r="B55" s="304" t="s">
        <v>134</v>
      </c>
      <c r="C55" s="308">
        <f t="shared" si="29"/>
        <v>291.77</v>
      </c>
      <c r="D55" s="308">
        <v>91.15</v>
      </c>
      <c r="E55" s="308">
        <v>174.73</v>
      </c>
      <c r="F55" s="308">
        <v>25.89</v>
      </c>
      <c r="G55" s="308">
        <f t="shared" si="30"/>
        <v>67.02</v>
      </c>
      <c r="H55" s="308">
        <v>0</v>
      </c>
      <c r="I55" s="308">
        <v>67.02</v>
      </c>
      <c r="J55" s="308"/>
      <c r="K55" s="309">
        <v>721.29999999999563</v>
      </c>
      <c r="L55" s="309">
        <f t="shared" si="34"/>
        <v>540.97</v>
      </c>
      <c r="M55" s="309">
        <f t="shared" si="31"/>
        <v>1207.1100000000001</v>
      </c>
      <c r="N55" s="311">
        <f t="shared" si="32"/>
        <v>2.2313806680592272</v>
      </c>
      <c r="O55" s="309">
        <v>1032.3800000000001</v>
      </c>
      <c r="P55" s="311">
        <f t="shared" si="33"/>
        <v>1.9083867866979685</v>
      </c>
    </row>
    <row r="56" spans="1:16" s="302" customFormat="1" ht="13.15" customHeight="1" x14ac:dyDescent="0.2">
      <c r="A56" s="359" t="s">
        <v>19</v>
      </c>
      <c r="B56" s="360"/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  <c r="N56" s="360"/>
      <c r="O56" s="361"/>
      <c r="P56" s="301"/>
    </row>
    <row r="57" spans="1:16" x14ac:dyDescent="0.2">
      <c r="A57" s="303" t="s">
        <v>121</v>
      </c>
      <c r="B57" s="304" t="s">
        <v>122</v>
      </c>
      <c r="C57" s="305">
        <f>SUM(C59:C64)</f>
        <v>131082.82999999999</v>
      </c>
      <c r="D57" s="305">
        <f>SUM(D59:D64)</f>
        <v>6548.01</v>
      </c>
      <c r="E57" s="305">
        <f t="shared" ref="E57:O57" si="35">SUM(E59:E64)</f>
        <v>95966.37</v>
      </c>
      <c r="F57" s="305">
        <f t="shared" si="35"/>
        <v>28568.45</v>
      </c>
      <c r="G57" s="305">
        <f t="shared" si="35"/>
        <v>85429.48</v>
      </c>
      <c r="H57" s="305">
        <f t="shared" si="35"/>
        <v>29.56</v>
      </c>
      <c r="I57" s="305">
        <f t="shared" si="35"/>
        <v>68914.850000000006</v>
      </c>
      <c r="J57" s="305">
        <f t="shared" si="35"/>
        <v>16485.07</v>
      </c>
      <c r="K57" s="305">
        <f t="shared" si="35"/>
        <v>553366.1</v>
      </c>
      <c r="L57" s="305">
        <f t="shared" si="35"/>
        <v>415024.58</v>
      </c>
      <c r="M57" s="305">
        <f t="shared" si="35"/>
        <v>473478.86</v>
      </c>
      <c r="N57" s="306">
        <f>M57/L57</f>
        <v>1.1408453446299494</v>
      </c>
      <c r="O57" s="305">
        <f t="shared" si="35"/>
        <v>377512.49</v>
      </c>
      <c r="P57" s="306">
        <f>O57/L57</f>
        <v>0.9096147751056094</v>
      </c>
    </row>
    <row r="58" spans="1:16" x14ac:dyDescent="0.2">
      <c r="A58" s="303"/>
      <c r="B58" s="307" t="s">
        <v>107</v>
      </c>
      <c r="C58" s="308"/>
      <c r="D58" s="308"/>
      <c r="E58" s="308"/>
      <c r="F58" s="308"/>
      <c r="G58" s="308"/>
      <c r="H58" s="308"/>
      <c r="I58" s="308"/>
      <c r="J58" s="309"/>
      <c r="K58" s="309"/>
      <c r="L58" s="309"/>
      <c r="M58" s="309"/>
      <c r="N58" s="309"/>
      <c r="O58" s="309"/>
      <c r="P58" s="309"/>
    </row>
    <row r="59" spans="1:16" x14ac:dyDescent="0.2">
      <c r="A59" s="303" t="s">
        <v>123</v>
      </c>
      <c r="B59" s="310" t="s">
        <v>124</v>
      </c>
      <c r="C59" s="308">
        <f t="shared" ref="C59:C64" si="36">D59+E59+F59</f>
        <v>5478.95</v>
      </c>
      <c r="D59" s="308">
        <v>0</v>
      </c>
      <c r="E59" s="308">
        <v>5447.94</v>
      </c>
      <c r="F59" s="308">
        <v>31.01</v>
      </c>
      <c r="G59" s="308">
        <f t="shared" ref="G59:G64" si="37">H59+I59+J59</f>
        <v>4536.1400000000003</v>
      </c>
      <c r="H59" s="308">
        <v>0</v>
      </c>
      <c r="I59" s="308">
        <v>4536.1400000000003</v>
      </c>
      <c r="J59" s="309">
        <v>0</v>
      </c>
      <c r="K59" s="309">
        <v>0</v>
      </c>
      <c r="L59" s="309">
        <f>ROUND(K59/12*9,2)</f>
        <v>0</v>
      </c>
      <c r="M59" s="309">
        <f t="shared" ref="M59:M64" si="38">O59+E59</f>
        <v>7584.4299999999994</v>
      </c>
      <c r="N59" s="311" t="e">
        <f t="shared" ref="N59:N64" si="39">M59/L59</f>
        <v>#DIV/0!</v>
      </c>
      <c r="O59" s="309">
        <v>2136.4899999999998</v>
      </c>
      <c r="P59" s="311" t="e">
        <f t="shared" ref="P59:P64" si="40">O59/L59</f>
        <v>#DIV/0!</v>
      </c>
    </row>
    <row r="60" spans="1:16" ht="25.5" x14ac:dyDescent="0.2">
      <c r="A60" s="303" t="s">
        <v>125</v>
      </c>
      <c r="B60" s="310" t="s">
        <v>126</v>
      </c>
      <c r="C60" s="308">
        <f t="shared" si="36"/>
        <v>2801.74</v>
      </c>
      <c r="D60" s="308">
        <v>24.5</v>
      </c>
      <c r="E60" s="308">
        <v>928.97</v>
      </c>
      <c r="F60" s="308">
        <v>1848.27</v>
      </c>
      <c r="G60" s="308">
        <f t="shared" si="37"/>
        <v>830.91</v>
      </c>
      <c r="H60" s="308">
        <v>24.5</v>
      </c>
      <c r="I60" s="308">
        <v>806.41</v>
      </c>
      <c r="J60" s="309">
        <v>0</v>
      </c>
      <c r="K60" s="309">
        <v>0</v>
      </c>
      <c r="L60" s="309">
        <f t="shared" ref="L60:L64" si="41">ROUND(K60/12*9,2)</f>
        <v>0</v>
      </c>
      <c r="M60" s="309">
        <f t="shared" si="38"/>
        <v>931.52</v>
      </c>
      <c r="N60" s="311" t="e">
        <f t="shared" si="39"/>
        <v>#DIV/0!</v>
      </c>
      <c r="O60" s="309">
        <v>2.5499999999999998</v>
      </c>
      <c r="P60" s="311" t="e">
        <f t="shared" si="40"/>
        <v>#DIV/0!</v>
      </c>
    </row>
    <row r="61" spans="1:16" x14ac:dyDescent="0.2">
      <c r="A61" s="303" t="s">
        <v>127</v>
      </c>
      <c r="B61" s="304" t="s">
        <v>128</v>
      </c>
      <c r="C61" s="308">
        <f t="shared" si="36"/>
        <v>23350.559999999998</v>
      </c>
      <c r="D61" s="308">
        <v>4449.3100000000004</v>
      </c>
      <c r="E61" s="308">
        <v>15898.17</v>
      </c>
      <c r="F61" s="308">
        <v>3003.08</v>
      </c>
      <c r="G61" s="308">
        <f t="shared" si="37"/>
        <v>0</v>
      </c>
      <c r="H61" s="308">
        <v>0</v>
      </c>
      <c r="I61" s="308">
        <v>0</v>
      </c>
      <c r="J61" s="309">
        <v>0</v>
      </c>
      <c r="K61" s="309">
        <v>425305.5</v>
      </c>
      <c r="L61" s="309">
        <f t="shared" si="41"/>
        <v>318979.13</v>
      </c>
      <c r="M61" s="309">
        <f t="shared" si="38"/>
        <v>308342.3</v>
      </c>
      <c r="N61" s="311">
        <f t="shared" si="39"/>
        <v>0.96665352369604862</v>
      </c>
      <c r="O61" s="309">
        <v>292444.13</v>
      </c>
      <c r="P61" s="311">
        <f t="shared" si="40"/>
        <v>0.91681273944160546</v>
      </c>
    </row>
    <row r="62" spans="1:16" ht="25.5" x14ac:dyDescent="0.2">
      <c r="A62" s="312" t="s">
        <v>129</v>
      </c>
      <c r="B62" s="304" t="s">
        <v>130</v>
      </c>
      <c r="C62" s="308">
        <f t="shared" si="36"/>
        <v>88318.989999999991</v>
      </c>
      <c r="D62" s="308">
        <v>1643.86</v>
      </c>
      <c r="E62" s="308">
        <v>69236.009999999995</v>
      </c>
      <c r="F62" s="308">
        <v>17439.12</v>
      </c>
      <c r="G62" s="308">
        <f t="shared" si="37"/>
        <v>78346.01999999999</v>
      </c>
      <c r="H62" s="308">
        <v>5.0599999999999996</v>
      </c>
      <c r="I62" s="308">
        <v>61855.89</v>
      </c>
      <c r="J62" s="309">
        <v>16485.07</v>
      </c>
      <c r="K62" s="309">
        <v>104225.92</v>
      </c>
      <c r="L62" s="309">
        <f t="shared" si="41"/>
        <v>78169.440000000002</v>
      </c>
      <c r="M62" s="309">
        <f t="shared" si="38"/>
        <v>137285.51</v>
      </c>
      <c r="N62" s="311">
        <f t="shared" si="39"/>
        <v>1.7562555136636517</v>
      </c>
      <c r="O62" s="309">
        <v>68049.5</v>
      </c>
      <c r="P62" s="311">
        <f t="shared" si="40"/>
        <v>0.87053840989522246</v>
      </c>
    </row>
    <row r="63" spans="1:16" x14ac:dyDescent="0.2">
      <c r="A63" s="303" t="s">
        <v>131</v>
      </c>
      <c r="B63" s="304" t="s">
        <v>132</v>
      </c>
      <c r="C63" s="308">
        <f t="shared" si="36"/>
        <v>976.40000000000009</v>
      </c>
      <c r="D63" s="308">
        <v>0</v>
      </c>
      <c r="E63" s="308">
        <v>462.54</v>
      </c>
      <c r="F63" s="308">
        <v>513.86</v>
      </c>
      <c r="G63" s="308">
        <f t="shared" si="37"/>
        <v>0</v>
      </c>
      <c r="H63" s="308">
        <v>0</v>
      </c>
      <c r="I63" s="308">
        <v>0</v>
      </c>
      <c r="J63" s="309">
        <v>0</v>
      </c>
      <c r="K63" s="309">
        <v>0</v>
      </c>
      <c r="L63" s="309">
        <f t="shared" si="41"/>
        <v>0</v>
      </c>
      <c r="M63" s="309">
        <f t="shared" si="38"/>
        <v>972.47</v>
      </c>
      <c r="N63" s="311" t="e">
        <f t="shared" si="39"/>
        <v>#DIV/0!</v>
      </c>
      <c r="O63" s="309">
        <v>509.93</v>
      </c>
      <c r="P63" s="311" t="e">
        <f t="shared" si="40"/>
        <v>#DIV/0!</v>
      </c>
    </row>
    <row r="64" spans="1:16" x14ac:dyDescent="0.2">
      <c r="A64" s="303" t="s">
        <v>133</v>
      </c>
      <c r="B64" s="304" t="s">
        <v>134</v>
      </c>
      <c r="C64" s="308">
        <f t="shared" si="36"/>
        <v>10156.189999999999</v>
      </c>
      <c r="D64" s="308">
        <v>430.34</v>
      </c>
      <c r="E64" s="308">
        <v>3992.74</v>
      </c>
      <c r="F64" s="308">
        <v>5733.11</v>
      </c>
      <c r="G64" s="308">
        <f t="shared" si="37"/>
        <v>1716.41</v>
      </c>
      <c r="H64" s="308">
        <v>0</v>
      </c>
      <c r="I64" s="308">
        <v>1716.41</v>
      </c>
      <c r="J64" s="309">
        <v>0</v>
      </c>
      <c r="K64" s="309">
        <v>23834.679999999935</v>
      </c>
      <c r="L64" s="309">
        <f t="shared" si="41"/>
        <v>17876.009999999998</v>
      </c>
      <c r="M64" s="309">
        <f t="shared" si="38"/>
        <v>18362.629999999997</v>
      </c>
      <c r="N64" s="311">
        <f t="shared" si="39"/>
        <v>1.0272219583676669</v>
      </c>
      <c r="O64" s="309">
        <v>14369.89</v>
      </c>
      <c r="P64" s="311">
        <f t="shared" si="40"/>
        <v>0.80386450891446137</v>
      </c>
    </row>
    <row r="65" spans="1:16" s="302" customFormat="1" ht="13.15" customHeight="1" x14ac:dyDescent="0.2">
      <c r="A65" s="359" t="s">
        <v>20</v>
      </c>
      <c r="B65" s="360"/>
      <c r="C65" s="360"/>
      <c r="D65" s="360"/>
      <c r="E65" s="360"/>
      <c r="F65" s="360"/>
      <c r="G65" s="360"/>
      <c r="H65" s="360"/>
      <c r="I65" s="360"/>
      <c r="J65" s="360"/>
      <c r="K65" s="360"/>
      <c r="L65" s="360"/>
      <c r="M65" s="360"/>
      <c r="N65" s="360"/>
      <c r="O65" s="361"/>
      <c r="P65" s="301"/>
    </row>
    <row r="66" spans="1:16" x14ac:dyDescent="0.2">
      <c r="A66" s="303" t="s">
        <v>121</v>
      </c>
      <c r="B66" s="304" t="s">
        <v>122</v>
      </c>
      <c r="C66" s="305">
        <f>SUM(C68:C73)</f>
        <v>23485.85</v>
      </c>
      <c r="D66" s="305">
        <f>SUM(D68:D73)</f>
        <v>111.79</v>
      </c>
      <c r="E66" s="305">
        <f t="shared" ref="E66:O66" si="42">SUM(E68:E73)</f>
        <v>18586.75</v>
      </c>
      <c r="F66" s="305">
        <f t="shared" si="42"/>
        <v>4787.3100000000004</v>
      </c>
      <c r="G66" s="305">
        <f t="shared" si="42"/>
        <v>16021.01</v>
      </c>
      <c r="H66" s="305">
        <f t="shared" si="42"/>
        <v>0</v>
      </c>
      <c r="I66" s="305">
        <f t="shared" si="42"/>
        <v>12418.27</v>
      </c>
      <c r="J66" s="305">
        <f t="shared" si="42"/>
        <v>3602.74</v>
      </c>
      <c r="K66" s="305">
        <f t="shared" si="42"/>
        <v>205512.4</v>
      </c>
      <c r="L66" s="305">
        <f t="shared" si="42"/>
        <v>154134.29999999999</v>
      </c>
      <c r="M66" s="305">
        <f t="shared" si="42"/>
        <v>169539.28</v>
      </c>
      <c r="N66" s="306">
        <f>M66/L66</f>
        <v>1.0999451776794653</v>
      </c>
      <c r="O66" s="305">
        <f t="shared" si="42"/>
        <v>150952.53</v>
      </c>
      <c r="P66" s="306">
        <f>O66/L66</f>
        <v>0.97935715801090351</v>
      </c>
    </row>
    <row r="67" spans="1:16" x14ac:dyDescent="0.2">
      <c r="A67" s="303"/>
      <c r="B67" s="307" t="s">
        <v>107</v>
      </c>
      <c r="C67" s="308"/>
      <c r="D67" s="308"/>
      <c r="E67" s="308"/>
      <c r="F67" s="308"/>
      <c r="G67" s="308"/>
      <c r="H67" s="308"/>
      <c r="I67" s="308"/>
      <c r="J67" s="309"/>
      <c r="K67" s="309"/>
      <c r="L67" s="309"/>
      <c r="M67" s="309"/>
      <c r="N67" s="309"/>
      <c r="O67" s="309"/>
      <c r="P67" s="309"/>
    </row>
    <row r="68" spans="1:16" x14ac:dyDescent="0.2">
      <c r="A68" s="303" t="s">
        <v>123</v>
      </c>
      <c r="B68" s="310" t="s">
        <v>124</v>
      </c>
      <c r="C68" s="308">
        <f t="shared" ref="C68:C73" si="43">D68+E68+F68</f>
        <v>582.77</v>
      </c>
      <c r="D68" s="308">
        <v>0</v>
      </c>
      <c r="E68" s="308">
        <v>582.77</v>
      </c>
      <c r="F68" s="308">
        <v>0</v>
      </c>
      <c r="G68" s="308">
        <f t="shared" ref="G68:G73" si="44">H68+I68+J68</f>
        <v>230.79</v>
      </c>
      <c r="H68" s="308">
        <v>0</v>
      </c>
      <c r="I68" s="308">
        <v>230.79</v>
      </c>
      <c r="J68" s="309">
        <v>0</v>
      </c>
      <c r="K68" s="309">
        <v>4937.2</v>
      </c>
      <c r="L68" s="309">
        <f>ROUND(K68/12*9,2)</f>
        <v>3702.9</v>
      </c>
      <c r="M68" s="309">
        <f t="shared" ref="M68:M73" si="45">O68+E68</f>
        <v>4767.0400000000009</v>
      </c>
      <c r="N68" s="311">
        <f t="shared" ref="N68:N73" si="46">M68/L68</f>
        <v>1.2873801614950446</v>
      </c>
      <c r="O68" s="309">
        <v>4184.2700000000004</v>
      </c>
      <c r="P68" s="311">
        <f t="shared" ref="P68:P73" si="47">O68/L68</f>
        <v>1.1299981095897811</v>
      </c>
    </row>
    <row r="69" spans="1:16" ht="25.5" x14ac:dyDescent="0.2">
      <c r="A69" s="303" t="s">
        <v>125</v>
      </c>
      <c r="B69" s="310" t="s">
        <v>126</v>
      </c>
      <c r="C69" s="308">
        <f t="shared" si="43"/>
        <v>374.71000000000004</v>
      </c>
      <c r="D69" s="308">
        <v>0</v>
      </c>
      <c r="E69" s="308">
        <v>373.86</v>
      </c>
      <c r="F69" s="308">
        <v>0.85</v>
      </c>
      <c r="G69" s="308">
        <f t="shared" si="44"/>
        <v>0</v>
      </c>
      <c r="H69" s="308">
        <v>0</v>
      </c>
      <c r="I69" s="308">
        <v>0</v>
      </c>
      <c r="J69" s="309">
        <v>0</v>
      </c>
      <c r="K69" s="309">
        <v>1577.15</v>
      </c>
      <c r="L69" s="309">
        <f t="shared" ref="L69:L73" si="48">ROUND(K69/12*9,2)</f>
        <v>1182.8599999999999</v>
      </c>
      <c r="M69" s="309">
        <f t="shared" si="45"/>
        <v>840.2</v>
      </c>
      <c r="N69" s="311">
        <f t="shared" si="46"/>
        <v>0.71031229393165729</v>
      </c>
      <c r="O69" s="309">
        <v>466.34</v>
      </c>
      <c r="P69" s="311">
        <f t="shared" si="47"/>
        <v>0.39424783998106289</v>
      </c>
    </row>
    <row r="70" spans="1:16" x14ac:dyDescent="0.2">
      <c r="A70" s="303" t="s">
        <v>127</v>
      </c>
      <c r="B70" s="304" t="s">
        <v>128</v>
      </c>
      <c r="C70" s="308">
        <f t="shared" si="43"/>
        <v>3291.42</v>
      </c>
      <c r="D70" s="308">
        <v>0</v>
      </c>
      <c r="E70" s="308">
        <v>2626.83</v>
      </c>
      <c r="F70" s="308">
        <v>664.59</v>
      </c>
      <c r="G70" s="308">
        <f t="shared" si="44"/>
        <v>0</v>
      </c>
      <c r="H70" s="308">
        <v>0</v>
      </c>
      <c r="I70" s="308">
        <v>0</v>
      </c>
      <c r="J70" s="309">
        <v>0</v>
      </c>
      <c r="K70" s="309">
        <v>137554.67000000001</v>
      </c>
      <c r="L70" s="309">
        <f t="shared" si="48"/>
        <v>103166</v>
      </c>
      <c r="M70" s="309">
        <f t="shared" si="45"/>
        <v>107318.19</v>
      </c>
      <c r="N70" s="311">
        <f t="shared" si="46"/>
        <v>1.0402476591124983</v>
      </c>
      <c r="O70" s="309">
        <v>104691.36</v>
      </c>
      <c r="P70" s="311">
        <f t="shared" si="47"/>
        <v>1.0147854913440475</v>
      </c>
    </row>
    <row r="71" spans="1:16" ht="25.5" x14ac:dyDescent="0.2">
      <c r="A71" s="312" t="s">
        <v>129</v>
      </c>
      <c r="B71" s="304" t="s">
        <v>130</v>
      </c>
      <c r="C71" s="308">
        <f t="shared" si="43"/>
        <v>8035.41</v>
      </c>
      <c r="D71" s="308">
        <v>0</v>
      </c>
      <c r="E71" s="308">
        <v>4152.63</v>
      </c>
      <c r="F71" s="308">
        <v>3882.78</v>
      </c>
      <c r="G71" s="308">
        <f t="shared" si="44"/>
        <v>5219.53</v>
      </c>
      <c r="H71" s="308">
        <v>0</v>
      </c>
      <c r="I71" s="308">
        <v>1616.79</v>
      </c>
      <c r="J71" s="309">
        <v>3602.74</v>
      </c>
      <c r="K71" s="309">
        <v>40925.65</v>
      </c>
      <c r="L71" s="309">
        <f t="shared" si="48"/>
        <v>30694.240000000002</v>
      </c>
      <c r="M71" s="309">
        <f t="shared" si="45"/>
        <v>41309.259999999995</v>
      </c>
      <c r="N71" s="311">
        <f t="shared" si="46"/>
        <v>1.3458310093359533</v>
      </c>
      <c r="O71" s="309">
        <v>37156.629999999997</v>
      </c>
      <c r="P71" s="311">
        <f t="shared" si="47"/>
        <v>1.2105408050500679</v>
      </c>
    </row>
    <row r="72" spans="1:16" x14ac:dyDescent="0.2">
      <c r="A72" s="303" t="s">
        <v>131</v>
      </c>
      <c r="B72" s="304" t="s">
        <v>132</v>
      </c>
      <c r="C72" s="308">
        <f t="shared" si="43"/>
        <v>45.83</v>
      </c>
      <c r="D72" s="308">
        <v>0</v>
      </c>
      <c r="E72" s="308">
        <v>13.54</v>
      </c>
      <c r="F72" s="308">
        <v>32.29</v>
      </c>
      <c r="G72" s="308">
        <f t="shared" si="44"/>
        <v>0</v>
      </c>
      <c r="H72" s="308">
        <v>0</v>
      </c>
      <c r="I72" s="308">
        <v>0</v>
      </c>
      <c r="J72" s="309">
        <v>0</v>
      </c>
      <c r="K72" s="309">
        <v>500</v>
      </c>
      <c r="L72" s="309">
        <f t="shared" si="48"/>
        <v>375</v>
      </c>
      <c r="M72" s="309">
        <f t="shared" si="45"/>
        <v>77.03</v>
      </c>
      <c r="N72" s="311">
        <f t="shared" si="46"/>
        <v>0.20541333333333334</v>
      </c>
      <c r="O72" s="309">
        <v>63.49</v>
      </c>
      <c r="P72" s="311">
        <f t="shared" si="47"/>
        <v>0.16930666666666666</v>
      </c>
    </row>
    <row r="73" spans="1:16" x14ac:dyDescent="0.2">
      <c r="A73" s="303" t="s">
        <v>133</v>
      </c>
      <c r="B73" s="304" t="s">
        <v>134</v>
      </c>
      <c r="C73" s="308">
        <f t="shared" si="43"/>
        <v>11155.710000000001</v>
      </c>
      <c r="D73" s="308">
        <v>111.79</v>
      </c>
      <c r="E73" s="308">
        <v>10837.12</v>
      </c>
      <c r="F73" s="308">
        <v>206.8</v>
      </c>
      <c r="G73" s="308">
        <f t="shared" si="44"/>
        <v>10570.69</v>
      </c>
      <c r="H73" s="308">
        <v>0</v>
      </c>
      <c r="I73" s="308">
        <v>10570.69</v>
      </c>
      <c r="J73" s="309">
        <v>0</v>
      </c>
      <c r="K73" s="309">
        <v>20017.729999999981</v>
      </c>
      <c r="L73" s="309">
        <f t="shared" si="48"/>
        <v>15013.3</v>
      </c>
      <c r="M73" s="309">
        <f t="shared" si="45"/>
        <v>15227.560000000001</v>
      </c>
      <c r="N73" s="311">
        <f t="shared" si="46"/>
        <v>1.0142713460731485</v>
      </c>
      <c r="O73" s="309">
        <v>4390.4399999999996</v>
      </c>
      <c r="P73" s="311">
        <f t="shared" si="47"/>
        <v>0.2924367061205731</v>
      </c>
    </row>
    <row r="74" spans="1:16" s="302" customFormat="1" ht="13.15" customHeight="1" x14ac:dyDescent="0.2">
      <c r="A74" s="359" t="s">
        <v>21</v>
      </c>
      <c r="B74" s="360"/>
      <c r="C74" s="360"/>
      <c r="D74" s="360"/>
      <c r="E74" s="360"/>
      <c r="F74" s="360"/>
      <c r="G74" s="360"/>
      <c r="H74" s="360"/>
      <c r="I74" s="360"/>
      <c r="J74" s="360"/>
      <c r="K74" s="360"/>
      <c r="L74" s="360"/>
      <c r="M74" s="360"/>
      <c r="N74" s="360"/>
      <c r="O74" s="361"/>
      <c r="P74" s="301"/>
    </row>
    <row r="75" spans="1:16" x14ac:dyDescent="0.2">
      <c r="A75" s="303" t="s">
        <v>121</v>
      </c>
      <c r="B75" s="304" t="s">
        <v>122</v>
      </c>
      <c r="C75" s="305">
        <f>SUM(C77:C82)</f>
        <v>61801.399999999994</v>
      </c>
      <c r="D75" s="305">
        <f>SUM(D77:D82)</f>
        <v>14285.089999999998</v>
      </c>
      <c r="E75" s="305">
        <f t="shared" ref="E75:O75" si="49">SUM(E77:E82)</f>
        <v>47321.56</v>
      </c>
      <c r="F75" s="305">
        <f t="shared" si="49"/>
        <v>194.75</v>
      </c>
      <c r="G75" s="305">
        <f t="shared" si="49"/>
        <v>45559.899999999994</v>
      </c>
      <c r="H75" s="305">
        <f t="shared" si="49"/>
        <v>5243.37</v>
      </c>
      <c r="I75" s="305">
        <f t="shared" si="49"/>
        <v>40316.53</v>
      </c>
      <c r="J75" s="305">
        <f t="shared" si="49"/>
        <v>0</v>
      </c>
      <c r="K75" s="305">
        <f t="shared" si="49"/>
        <v>229922.74</v>
      </c>
      <c r="L75" s="305">
        <f t="shared" si="49"/>
        <v>172442.06999999998</v>
      </c>
      <c r="M75" s="305">
        <f t="shared" si="49"/>
        <v>218630.99999999997</v>
      </c>
      <c r="N75" s="306">
        <f>M75/L75</f>
        <v>1.2678518646870802</v>
      </c>
      <c r="O75" s="305">
        <f t="shared" si="49"/>
        <v>171309.44</v>
      </c>
      <c r="P75" s="306">
        <f>O75/L75</f>
        <v>0.99343182322040102</v>
      </c>
    </row>
    <row r="76" spans="1:16" x14ac:dyDescent="0.2">
      <c r="A76" s="303"/>
      <c r="B76" s="307" t="s">
        <v>107</v>
      </c>
      <c r="C76" s="308"/>
      <c r="D76" s="308"/>
      <c r="E76" s="308"/>
      <c r="F76" s="308"/>
      <c r="G76" s="308"/>
      <c r="H76" s="308"/>
      <c r="I76" s="308"/>
      <c r="J76" s="308"/>
      <c r="K76" s="309"/>
      <c r="L76" s="309"/>
      <c r="M76" s="309"/>
      <c r="N76" s="309"/>
      <c r="O76" s="309"/>
      <c r="P76" s="309"/>
    </row>
    <row r="77" spans="1:16" x14ac:dyDescent="0.2">
      <c r="A77" s="303" t="s">
        <v>123</v>
      </c>
      <c r="B77" s="310" t="s">
        <v>124</v>
      </c>
      <c r="C77" s="308">
        <f t="shared" ref="C77:C82" si="50">D77+E77+F77</f>
        <v>1083.97</v>
      </c>
      <c r="D77" s="308">
        <v>223.54</v>
      </c>
      <c r="E77" s="308">
        <v>858.84</v>
      </c>
      <c r="F77" s="308">
        <v>1.59</v>
      </c>
      <c r="G77" s="308">
        <f t="shared" ref="G77:G82" si="51">H77+I77+J77</f>
        <v>989.26</v>
      </c>
      <c r="H77" s="308">
        <v>130.41999999999999</v>
      </c>
      <c r="I77" s="308">
        <v>858.84</v>
      </c>
      <c r="J77" s="308"/>
      <c r="K77" s="309">
        <v>0</v>
      </c>
      <c r="L77" s="309">
        <f>ROUND(K77/12*9,2)</f>
        <v>0</v>
      </c>
      <c r="M77" s="309">
        <f t="shared" ref="M77:M82" si="52">O77+E77</f>
        <v>1109.1400000000001</v>
      </c>
      <c r="N77" s="311" t="e">
        <f t="shared" ref="N77:N82" si="53">M77/L77</f>
        <v>#DIV/0!</v>
      </c>
      <c r="O77" s="309">
        <v>250.3</v>
      </c>
      <c r="P77" s="311" t="e">
        <f t="shared" ref="P77:P82" si="54">O77/L77</f>
        <v>#DIV/0!</v>
      </c>
    </row>
    <row r="78" spans="1:16" ht="25.5" x14ac:dyDescent="0.2">
      <c r="A78" s="303" t="s">
        <v>125</v>
      </c>
      <c r="B78" s="310" t="s">
        <v>126</v>
      </c>
      <c r="C78" s="308">
        <f t="shared" si="50"/>
        <v>318.89</v>
      </c>
      <c r="D78" s="308">
        <v>166.44</v>
      </c>
      <c r="E78" s="308">
        <v>52.46</v>
      </c>
      <c r="F78" s="308">
        <v>99.99</v>
      </c>
      <c r="G78" s="308">
        <f t="shared" si="51"/>
        <v>69.45</v>
      </c>
      <c r="H78" s="308">
        <v>69.45</v>
      </c>
      <c r="I78" s="308">
        <v>0</v>
      </c>
      <c r="J78" s="308"/>
      <c r="K78" s="309">
        <v>500</v>
      </c>
      <c r="L78" s="309">
        <f t="shared" ref="L78:L82" si="55">ROUND(K78/12*9,2)</f>
        <v>375</v>
      </c>
      <c r="M78" s="309">
        <f t="shared" si="52"/>
        <v>602.6</v>
      </c>
      <c r="N78" s="311">
        <f t="shared" si="53"/>
        <v>1.6069333333333333</v>
      </c>
      <c r="O78" s="309">
        <v>550.14</v>
      </c>
      <c r="P78" s="311">
        <f t="shared" si="54"/>
        <v>1.4670399999999999</v>
      </c>
    </row>
    <row r="79" spans="1:16" x14ac:dyDescent="0.2">
      <c r="A79" s="303" t="s">
        <v>127</v>
      </c>
      <c r="B79" s="304" t="s">
        <v>128</v>
      </c>
      <c r="C79" s="308">
        <f t="shared" si="50"/>
        <v>9139.7999999999993</v>
      </c>
      <c r="D79" s="308">
        <v>2484.02</v>
      </c>
      <c r="E79" s="308">
        <v>6655.78</v>
      </c>
      <c r="F79" s="308">
        <v>0</v>
      </c>
      <c r="G79" s="308">
        <f t="shared" si="51"/>
        <v>0</v>
      </c>
      <c r="H79" s="308">
        <v>0</v>
      </c>
      <c r="I79" s="308">
        <v>0</v>
      </c>
      <c r="J79" s="308"/>
      <c r="K79" s="309">
        <v>183042.86</v>
      </c>
      <c r="L79" s="309">
        <f t="shared" si="55"/>
        <v>137282.15</v>
      </c>
      <c r="M79" s="309">
        <f t="shared" si="52"/>
        <v>153540.01999999999</v>
      </c>
      <c r="N79" s="311">
        <f t="shared" si="53"/>
        <v>1.1184266854795033</v>
      </c>
      <c r="O79" s="309">
        <v>146884.24</v>
      </c>
      <c r="P79" s="311">
        <f t="shared" si="54"/>
        <v>1.0699441988634355</v>
      </c>
    </row>
    <row r="80" spans="1:16" ht="25.5" x14ac:dyDescent="0.2">
      <c r="A80" s="312" t="s">
        <v>129</v>
      </c>
      <c r="B80" s="304" t="s">
        <v>130</v>
      </c>
      <c r="C80" s="308">
        <f t="shared" si="50"/>
        <v>47206.939999999995</v>
      </c>
      <c r="D80" s="308">
        <v>9554.31</v>
      </c>
      <c r="E80" s="308">
        <v>37652.629999999997</v>
      </c>
      <c r="F80" s="308">
        <v>0</v>
      </c>
      <c r="G80" s="308">
        <f t="shared" si="51"/>
        <v>41214.25</v>
      </c>
      <c r="H80" s="308">
        <v>3561.62</v>
      </c>
      <c r="I80" s="308">
        <v>37652.629999999997</v>
      </c>
      <c r="J80" s="308"/>
      <c r="K80" s="309">
        <v>36151.18</v>
      </c>
      <c r="L80" s="309">
        <f t="shared" si="55"/>
        <v>27113.39</v>
      </c>
      <c r="M80" s="309">
        <f t="shared" si="52"/>
        <v>55188.21</v>
      </c>
      <c r="N80" s="311">
        <f t="shared" si="53"/>
        <v>2.0354596013261346</v>
      </c>
      <c r="O80" s="309">
        <v>17535.580000000002</v>
      </c>
      <c r="P80" s="311">
        <f t="shared" si="54"/>
        <v>0.64674981623470917</v>
      </c>
    </row>
    <row r="81" spans="1:16" x14ac:dyDescent="0.2">
      <c r="A81" s="303" t="s">
        <v>131</v>
      </c>
      <c r="B81" s="304" t="s">
        <v>132</v>
      </c>
      <c r="C81" s="308">
        <f t="shared" si="50"/>
        <v>623.92999999999995</v>
      </c>
      <c r="D81" s="308">
        <v>25.48</v>
      </c>
      <c r="E81" s="308">
        <v>598.4</v>
      </c>
      <c r="F81" s="308">
        <v>0.05</v>
      </c>
      <c r="G81" s="308">
        <f t="shared" si="51"/>
        <v>609.19999999999993</v>
      </c>
      <c r="H81" s="308">
        <v>21.9</v>
      </c>
      <c r="I81" s="308">
        <v>587.29999999999995</v>
      </c>
      <c r="J81" s="308"/>
      <c r="K81" s="309">
        <v>0</v>
      </c>
      <c r="L81" s="309">
        <f t="shared" si="55"/>
        <v>0</v>
      </c>
      <c r="M81" s="309">
        <f t="shared" si="52"/>
        <v>627.66999999999996</v>
      </c>
      <c r="N81" s="311" t="e">
        <f t="shared" si="53"/>
        <v>#DIV/0!</v>
      </c>
      <c r="O81" s="309">
        <v>29.27</v>
      </c>
      <c r="P81" s="311" t="e">
        <f t="shared" si="54"/>
        <v>#DIV/0!</v>
      </c>
    </row>
    <row r="82" spans="1:16" x14ac:dyDescent="0.2">
      <c r="A82" s="303" t="s">
        <v>133</v>
      </c>
      <c r="B82" s="304" t="s">
        <v>134</v>
      </c>
      <c r="C82" s="308">
        <f t="shared" si="50"/>
        <v>3427.87</v>
      </c>
      <c r="D82" s="308">
        <v>1831.3</v>
      </c>
      <c r="E82" s="308">
        <v>1503.45</v>
      </c>
      <c r="F82" s="308">
        <v>93.12</v>
      </c>
      <c r="G82" s="308">
        <f t="shared" si="51"/>
        <v>2677.74</v>
      </c>
      <c r="H82" s="308">
        <v>1459.98</v>
      </c>
      <c r="I82" s="308">
        <v>1217.76</v>
      </c>
      <c r="J82" s="308"/>
      <c r="K82" s="309">
        <v>10228.700000000012</v>
      </c>
      <c r="L82" s="309">
        <f t="shared" si="55"/>
        <v>7671.53</v>
      </c>
      <c r="M82" s="309">
        <f t="shared" si="52"/>
        <v>7563.36</v>
      </c>
      <c r="N82" s="311">
        <f t="shared" si="53"/>
        <v>0.98589981398756177</v>
      </c>
      <c r="O82" s="309">
        <v>6059.91</v>
      </c>
      <c r="P82" s="311">
        <f t="shared" si="54"/>
        <v>0.78992195820129751</v>
      </c>
    </row>
    <row r="83" spans="1:16" s="302" customFormat="1" ht="13.15" customHeight="1" x14ac:dyDescent="0.2">
      <c r="A83" s="359" t="s">
        <v>23</v>
      </c>
      <c r="B83" s="360"/>
      <c r="C83" s="360"/>
      <c r="D83" s="360"/>
      <c r="E83" s="360"/>
      <c r="F83" s="360"/>
      <c r="G83" s="360"/>
      <c r="H83" s="360"/>
      <c r="I83" s="360"/>
      <c r="J83" s="360"/>
      <c r="K83" s="360"/>
      <c r="L83" s="360"/>
      <c r="M83" s="360"/>
      <c r="N83" s="360"/>
      <c r="O83" s="361"/>
      <c r="P83" s="301"/>
    </row>
    <row r="84" spans="1:16" x14ac:dyDescent="0.2">
      <c r="A84" s="303" t="s">
        <v>121</v>
      </c>
      <c r="B84" s="304" t="s">
        <v>122</v>
      </c>
      <c r="C84" s="305">
        <f>SUM(C86:C91)</f>
        <v>91199.93</v>
      </c>
      <c r="D84" s="305">
        <f>SUM(D86:D91)</f>
        <v>13942.78</v>
      </c>
      <c r="E84" s="305">
        <f t="shared" ref="E84:O84" si="56">SUM(E86:E91)</f>
        <v>76198.579999999987</v>
      </c>
      <c r="F84" s="305">
        <f t="shared" si="56"/>
        <v>1058.5700000000002</v>
      </c>
      <c r="G84" s="305">
        <f t="shared" si="56"/>
        <v>60893.520000000004</v>
      </c>
      <c r="H84" s="305">
        <f t="shared" si="56"/>
        <v>180.54</v>
      </c>
      <c r="I84" s="305">
        <f t="shared" si="56"/>
        <v>60712.98000000001</v>
      </c>
      <c r="J84" s="305">
        <f t="shared" si="56"/>
        <v>0</v>
      </c>
      <c r="K84" s="305">
        <f t="shared" si="56"/>
        <v>215655.16</v>
      </c>
      <c r="L84" s="305">
        <f t="shared" si="56"/>
        <v>161741.38</v>
      </c>
      <c r="M84" s="305">
        <f t="shared" si="56"/>
        <v>252255.38999999996</v>
      </c>
      <c r="N84" s="306">
        <f>M84/L84</f>
        <v>1.559621848162789</v>
      </c>
      <c r="O84" s="305">
        <f t="shared" si="56"/>
        <v>176056.81</v>
      </c>
      <c r="P84" s="306">
        <f>O84/L84</f>
        <v>1.0885081480076404</v>
      </c>
    </row>
    <row r="85" spans="1:16" x14ac:dyDescent="0.2">
      <c r="A85" s="303"/>
      <c r="B85" s="307" t="s">
        <v>107</v>
      </c>
      <c r="C85" s="308"/>
      <c r="D85" s="308"/>
      <c r="E85" s="308"/>
      <c r="F85" s="308"/>
      <c r="G85" s="308"/>
      <c r="H85" s="308"/>
      <c r="I85" s="308"/>
      <c r="J85" s="308"/>
      <c r="K85" s="309"/>
      <c r="L85" s="309"/>
      <c r="M85" s="309"/>
      <c r="N85" s="309"/>
      <c r="O85" s="309"/>
      <c r="P85" s="309"/>
    </row>
    <row r="86" spans="1:16" x14ac:dyDescent="0.2">
      <c r="A86" s="303" t="s">
        <v>123</v>
      </c>
      <c r="B86" s="310" t="s">
        <v>124</v>
      </c>
      <c r="C86" s="308">
        <f t="shared" ref="C86:C91" si="57">D86+E86+F86</f>
        <v>4816.46</v>
      </c>
      <c r="D86" s="308">
        <v>481.61</v>
      </c>
      <c r="E86" s="308">
        <v>4331.58</v>
      </c>
      <c r="F86" s="308">
        <v>3.27</v>
      </c>
      <c r="G86" s="308">
        <f t="shared" ref="G86:G91" si="58">H86+I86+J86</f>
        <v>4465.45</v>
      </c>
      <c r="H86" s="308">
        <v>164.76</v>
      </c>
      <c r="I86" s="308">
        <v>4300.6899999999996</v>
      </c>
      <c r="J86" s="308"/>
      <c r="K86" s="309">
        <v>0</v>
      </c>
      <c r="L86" s="309">
        <f>ROUND(K86/12*9,2)</f>
        <v>0</v>
      </c>
      <c r="M86" s="309">
        <f t="shared" ref="M86:M91" si="59">O86+E86</f>
        <v>4331.95</v>
      </c>
      <c r="N86" s="311" t="e">
        <f t="shared" ref="N86:N91" si="60">M86/L86</f>
        <v>#DIV/0!</v>
      </c>
      <c r="O86" s="309">
        <v>0.37</v>
      </c>
      <c r="P86" s="311" t="e">
        <f t="shared" ref="P86:P91" si="61">O86/L86</f>
        <v>#DIV/0!</v>
      </c>
    </row>
    <row r="87" spans="1:16" ht="25.5" x14ac:dyDescent="0.2">
      <c r="A87" s="303" t="s">
        <v>125</v>
      </c>
      <c r="B87" s="310" t="s">
        <v>126</v>
      </c>
      <c r="C87" s="308">
        <f t="shared" si="57"/>
        <v>929.79</v>
      </c>
      <c r="D87" s="308">
        <v>12.76</v>
      </c>
      <c r="E87" s="308">
        <v>849.66</v>
      </c>
      <c r="F87" s="308">
        <v>67.37</v>
      </c>
      <c r="G87" s="308">
        <f t="shared" si="58"/>
        <v>647.58000000000004</v>
      </c>
      <c r="H87" s="308">
        <v>12.76</v>
      </c>
      <c r="I87" s="308">
        <v>634.82000000000005</v>
      </c>
      <c r="J87" s="308"/>
      <c r="K87" s="309">
        <v>0</v>
      </c>
      <c r="L87" s="309">
        <f t="shared" ref="L87:L91" si="62">ROUND(K87/12*9,2)</f>
        <v>0</v>
      </c>
      <c r="M87" s="309">
        <f t="shared" si="59"/>
        <v>960.67</v>
      </c>
      <c r="N87" s="311" t="e">
        <f t="shared" si="60"/>
        <v>#DIV/0!</v>
      </c>
      <c r="O87" s="309">
        <v>111.01</v>
      </c>
      <c r="P87" s="311" t="e">
        <f t="shared" si="61"/>
        <v>#DIV/0!</v>
      </c>
    </row>
    <row r="88" spans="1:16" x14ac:dyDescent="0.2">
      <c r="A88" s="303" t="s">
        <v>127</v>
      </c>
      <c r="B88" s="304" t="s">
        <v>128</v>
      </c>
      <c r="C88" s="308">
        <f t="shared" si="57"/>
        <v>17892.510000000002</v>
      </c>
      <c r="D88" s="308">
        <v>8301.39</v>
      </c>
      <c r="E88" s="308">
        <v>9110.08</v>
      </c>
      <c r="F88" s="308">
        <v>481.04</v>
      </c>
      <c r="G88" s="308">
        <f t="shared" si="58"/>
        <v>0</v>
      </c>
      <c r="H88" s="308">
        <v>0</v>
      </c>
      <c r="I88" s="308">
        <v>0</v>
      </c>
      <c r="J88" s="308"/>
      <c r="K88" s="309">
        <v>196105.54</v>
      </c>
      <c r="L88" s="309">
        <f t="shared" si="62"/>
        <v>147079.16</v>
      </c>
      <c r="M88" s="309">
        <f t="shared" si="59"/>
        <v>162824.21</v>
      </c>
      <c r="N88" s="311">
        <f t="shared" si="60"/>
        <v>1.1070515360571815</v>
      </c>
      <c r="O88" s="309">
        <v>153714.13</v>
      </c>
      <c r="P88" s="311">
        <f t="shared" si="61"/>
        <v>1.0451115576129208</v>
      </c>
    </row>
    <row r="89" spans="1:16" ht="25.5" x14ac:dyDescent="0.2">
      <c r="A89" s="312" t="s">
        <v>129</v>
      </c>
      <c r="B89" s="304" t="s">
        <v>130</v>
      </c>
      <c r="C89" s="308">
        <f t="shared" si="57"/>
        <v>58015.67</v>
      </c>
      <c r="D89" s="308">
        <v>1618.5</v>
      </c>
      <c r="E89" s="308">
        <v>56324.92</v>
      </c>
      <c r="F89" s="308">
        <v>72.25</v>
      </c>
      <c r="G89" s="308">
        <f t="shared" si="58"/>
        <v>50587.4</v>
      </c>
      <c r="H89" s="308">
        <v>0</v>
      </c>
      <c r="I89" s="308">
        <v>50587.4</v>
      </c>
      <c r="J89" s="308"/>
      <c r="K89" s="309">
        <v>4638.32</v>
      </c>
      <c r="L89" s="309">
        <f t="shared" si="62"/>
        <v>3478.74</v>
      </c>
      <c r="M89" s="309">
        <f t="shared" si="59"/>
        <v>75634.2</v>
      </c>
      <c r="N89" s="311">
        <f t="shared" si="60"/>
        <v>21.741837561875851</v>
      </c>
      <c r="O89" s="309">
        <v>19309.28</v>
      </c>
      <c r="P89" s="311">
        <f t="shared" si="61"/>
        <v>5.5506533974944947</v>
      </c>
    </row>
    <row r="90" spans="1:16" x14ac:dyDescent="0.2">
      <c r="A90" s="303" t="s">
        <v>131</v>
      </c>
      <c r="B90" s="304" t="s">
        <v>132</v>
      </c>
      <c r="C90" s="308">
        <f t="shared" si="57"/>
        <v>85.63</v>
      </c>
      <c r="D90" s="308">
        <v>3.02</v>
      </c>
      <c r="E90" s="308">
        <v>16.73</v>
      </c>
      <c r="F90" s="308">
        <v>65.88</v>
      </c>
      <c r="G90" s="308">
        <f t="shared" si="58"/>
        <v>19.75</v>
      </c>
      <c r="H90" s="308">
        <v>3.02</v>
      </c>
      <c r="I90" s="308">
        <v>16.73</v>
      </c>
      <c r="J90" s="308"/>
      <c r="K90" s="309">
        <v>0</v>
      </c>
      <c r="L90" s="309">
        <f t="shared" si="62"/>
        <v>0</v>
      </c>
      <c r="M90" s="309">
        <f t="shared" si="59"/>
        <v>19.47</v>
      </c>
      <c r="N90" s="311" t="e">
        <f t="shared" si="60"/>
        <v>#DIV/0!</v>
      </c>
      <c r="O90" s="309">
        <v>2.74</v>
      </c>
      <c r="P90" s="311" t="e">
        <f t="shared" si="61"/>
        <v>#DIV/0!</v>
      </c>
    </row>
    <row r="91" spans="1:16" x14ac:dyDescent="0.2">
      <c r="A91" s="303" t="s">
        <v>133</v>
      </c>
      <c r="B91" s="304" t="s">
        <v>134</v>
      </c>
      <c r="C91" s="308">
        <f t="shared" si="57"/>
        <v>9459.8700000000008</v>
      </c>
      <c r="D91" s="308">
        <v>3525.5</v>
      </c>
      <c r="E91" s="308">
        <v>5565.61</v>
      </c>
      <c r="F91" s="308">
        <v>368.76</v>
      </c>
      <c r="G91" s="308">
        <f t="shared" si="58"/>
        <v>5173.34</v>
      </c>
      <c r="H91" s="308">
        <v>0</v>
      </c>
      <c r="I91" s="308">
        <v>5173.34</v>
      </c>
      <c r="J91" s="308"/>
      <c r="K91" s="309">
        <v>14911.299999999988</v>
      </c>
      <c r="L91" s="309">
        <f t="shared" si="62"/>
        <v>11183.48</v>
      </c>
      <c r="M91" s="309">
        <f t="shared" si="59"/>
        <v>8484.89</v>
      </c>
      <c r="N91" s="311">
        <f t="shared" si="60"/>
        <v>0.75869854463905684</v>
      </c>
      <c r="O91" s="309">
        <v>2919.28</v>
      </c>
      <c r="P91" s="311">
        <f t="shared" si="61"/>
        <v>0.26103502666432993</v>
      </c>
    </row>
    <row r="92" spans="1:16" s="302" customFormat="1" ht="13.15" customHeight="1" x14ac:dyDescent="0.2">
      <c r="A92" s="359" t="s">
        <v>24</v>
      </c>
      <c r="B92" s="360"/>
      <c r="C92" s="360"/>
      <c r="D92" s="360"/>
      <c r="E92" s="360"/>
      <c r="F92" s="360"/>
      <c r="G92" s="360"/>
      <c r="H92" s="360"/>
      <c r="I92" s="360"/>
      <c r="J92" s="360"/>
      <c r="K92" s="360"/>
      <c r="L92" s="360"/>
      <c r="M92" s="360"/>
      <c r="N92" s="360"/>
      <c r="O92" s="361"/>
      <c r="P92" s="301"/>
    </row>
    <row r="93" spans="1:16" x14ac:dyDescent="0.2">
      <c r="A93" s="303" t="s">
        <v>121</v>
      </c>
      <c r="B93" s="304" t="s">
        <v>122</v>
      </c>
      <c r="C93" s="305">
        <f>SUM(C95:C100)</f>
        <v>36860.000000000007</v>
      </c>
      <c r="D93" s="305">
        <f>SUM(D95:D100)</f>
        <v>1469.0100000000002</v>
      </c>
      <c r="E93" s="305">
        <f t="shared" ref="E93:O93" si="63">SUM(E95:E100)</f>
        <v>34028.47</v>
      </c>
      <c r="F93" s="305">
        <f t="shared" si="63"/>
        <v>1362.52</v>
      </c>
      <c r="G93" s="305">
        <f t="shared" si="63"/>
        <v>29617.97</v>
      </c>
      <c r="H93" s="305">
        <f t="shared" si="63"/>
        <v>411.61</v>
      </c>
      <c r="I93" s="305">
        <f t="shared" si="63"/>
        <v>29164.260000000002</v>
      </c>
      <c r="J93" s="305">
        <f t="shared" si="63"/>
        <v>42.1</v>
      </c>
      <c r="K93" s="305">
        <f t="shared" si="63"/>
        <v>130843.33</v>
      </c>
      <c r="L93" s="305">
        <f t="shared" si="63"/>
        <v>98132.5</v>
      </c>
      <c r="M93" s="305">
        <f t="shared" si="63"/>
        <v>141111.06</v>
      </c>
      <c r="N93" s="306">
        <f>M93/L93</f>
        <v>1.4379645886938577</v>
      </c>
      <c r="O93" s="305">
        <f t="shared" si="63"/>
        <v>107082.59</v>
      </c>
      <c r="P93" s="306">
        <f>O93/L93</f>
        <v>1.0912041372633938</v>
      </c>
    </row>
    <row r="94" spans="1:16" x14ac:dyDescent="0.2">
      <c r="A94" s="303"/>
      <c r="B94" s="307" t="s">
        <v>107</v>
      </c>
      <c r="C94" s="308"/>
      <c r="D94" s="308"/>
      <c r="E94" s="308"/>
      <c r="F94" s="308"/>
      <c r="G94" s="308"/>
      <c r="H94" s="308"/>
      <c r="I94" s="308"/>
      <c r="J94" s="309"/>
      <c r="K94" s="309"/>
      <c r="L94" s="309"/>
      <c r="M94" s="309"/>
      <c r="N94" s="309"/>
      <c r="O94" s="309"/>
      <c r="P94" s="309"/>
    </row>
    <row r="95" spans="1:16" x14ac:dyDescent="0.2">
      <c r="A95" s="303" t="s">
        <v>123</v>
      </c>
      <c r="B95" s="310" t="s">
        <v>124</v>
      </c>
      <c r="C95" s="308">
        <f t="shared" ref="C95:C100" si="64">D95+E95+F95</f>
        <v>4204.75</v>
      </c>
      <c r="D95" s="308">
        <v>0</v>
      </c>
      <c r="E95" s="308">
        <v>4204.75</v>
      </c>
      <c r="F95" s="308">
        <v>0</v>
      </c>
      <c r="G95" s="308">
        <f t="shared" ref="G95:G100" si="65">H95+I95+J95</f>
        <v>2377.27</v>
      </c>
      <c r="H95" s="308">
        <v>0</v>
      </c>
      <c r="I95" s="308">
        <v>2377.27</v>
      </c>
      <c r="J95" s="309">
        <v>0</v>
      </c>
      <c r="K95" s="309">
        <v>0</v>
      </c>
      <c r="L95" s="309">
        <f>ROUND(K95/12*9,2)</f>
        <v>0</v>
      </c>
      <c r="M95" s="309">
        <f t="shared" ref="M95:M100" si="66">O95+E95</f>
        <v>4204.75</v>
      </c>
      <c r="N95" s="311" t="e">
        <f t="shared" ref="N95:N100" si="67">M95/L95</f>
        <v>#DIV/0!</v>
      </c>
      <c r="O95" s="309">
        <v>0</v>
      </c>
      <c r="P95" s="311" t="e">
        <f t="shared" ref="P95:P100" si="68">O95/L95</f>
        <v>#DIV/0!</v>
      </c>
    </row>
    <row r="96" spans="1:16" ht="25.5" x14ac:dyDescent="0.2">
      <c r="A96" s="303" t="s">
        <v>125</v>
      </c>
      <c r="B96" s="310" t="s">
        <v>126</v>
      </c>
      <c r="C96" s="308">
        <f t="shared" si="64"/>
        <v>418.51</v>
      </c>
      <c r="D96" s="308">
        <v>411.61</v>
      </c>
      <c r="E96" s="308">
        <v>6.9</v>
      </c>
      <c r="F96" s="308">
        <v>0</v>
      </c>
      <c r="G96" s="308">
        <f t="shared" si="65"/>
        <v>411.61</v>
      </c>
      <c r="H96" s="308">
        <v>411.61</v>
      </c>
      <c r="I96" s="308">
        <v>0</v>
      </c>
      <c r="J96" s="309">
        <v>0</v>
      </c>
      <c r="K96" s="309">
        <v>0</v>
      </c>
      <c r="L96" s="309">
        <f t="shared" ref="L96:L100" si="69">ROUND(K96/12*9,2)</f>
        <v>0</v>
      </c>
      <c r="M96" s="309">
        <f t="shared" si="66"/>
        <v>6.9</v>
      </c>
      <c r="N96" s="311" t="e">
        <f t="shared" si="67"/>
        <v>#DIV/0!</v>
      </c>
      <c r="O96" s="309">
        <v>0</v>
      </c>
      <c r="P96" s="311" t="e">
        <f t="shared" si="68"/>
        <v>#DIV/0!</v>
      </c>
    </row>
    <row r="97" spans="1:16" x14ac:dyDescent="0.2">
      <c r="A97" s="303" t="s">
        <v>127</v>
      </c>
      <c r="B97" s="304" t="s">
        <v>128</v>
      </c>
      <c r="C97" s="308">
        <f t="shared" si="64"/>
        <v>0</v>
      </c>
      <c r="D97" s="308">
        <v>0</v>
      </c>
      <c r="E97" s="308">
        <v>0</v>
      </c>
      <c r="F97" s="308">
        <v>0</v>
      </c>
      <c r="G97" s="308">
        <f t="shared" si="65"/>
        <v>0</v>
      </c>
      <c r="H97" s="308">
        <v>0</v>
      </c>
      <c r="I97" s="308">
        <v>0</v>
      </c>
      <c r="J97" s="309">
        <v>0</v>
      </c>
      <c r="K97" s="309">
        <v>125253.43</v>
      </c>
      <c r="L97" s="309">
        <f t="shared" si="69"/>
        <v>93940.07</v>
      </c>
      <c r="M97" s="309">
        <f t="shared" si="66"/>
        <v>105712.69</v>
      </c>
      <c r="N97" s="311">
        <f t="shared" si="67"/>
        <v>1.1253205368060721</v>
      </c>
      <c r="O97" s="309">
        <v>105712.69</v>
      </c>
      <c r="P97" s="311">
        <f t="shared" si="68"/>
        <v>1.1253205368060721</v>
      </c>
    </row>
    <row r="98" spans="1:16" ht="25.5" x14ac:dyDescent="0.2">
      <c r="A98" s="312" t="s">
        <v>129</v>
      </c>
      <c r="B98" s="304" t="s">
        <v>130</v>
      </c>
      <c r="C98" s="308">
        <f t="shared" si="64"/>
        <v>26252.61</v>
      </c>
      <c r="D98" s="308">
        <v>0</v>
      </c>
      <c r="E98" s="308">
        <v>26193.81</v>
      </c>
      <c r="F98" s="308">
        <v>58.8</v>
      </c>
      <c r="G98" s="308">
        <f t="shared" si="65"/>
        <v>23389.71</v>
      </c>
      <c r="H98" s="308">
        <v>0</v>
      </c>
      <c r="I98" s="308">
        <v>23389.71</v>
      </c>
      <c r="J98" s="309">
        <v>0</v>
      </c>
      <c r="K98" s="309">
        <v>0</v>
      </c>
      <c r="L98" s="309">
        <f t="shared" si="69"/>
        <v>0</v>
      </c>
      <c r="M98" s="309">
        <f t="shared" si="66"/>
        <v>26193.81</v>
      </c>
      <c r="N98" s="311" t="e">
        <f t="shared" si="67"/>
        <v>#DIV/0!</v>
      </c>
      <c r="O98" s="309">
        <v>0</v>
      </c>
      <c r="P98" s="311" t="e">
        <f t="shared" si="68"/>
        <v>#DIV/0!</v>
      </c>
    </row>
    <row r="99" spans="1:16" x14ac:dyDescent="0.2">
      <c r="A99" s="303" t="s">
        <v>131</v>
      </c>
      <c r="B99" s="304" t="s">
        <v>132</v>
      </c>
      <c r="C99" s="308">
        <f t="shared" si="64"/>
        <v>2534.44</v>
      </c>
      <c r="D99" s="308">
        <v>0</v>
      </c>
      <c r="E99" s="308">
        <v>1432.54</v>
      </c>
      <c r="F99" s="308">
        <v>1101.9000000000001</v>
      </c>
      <c r="G99" s="308">
        <f t="shared" si="65"/>
        <v>1432.54</v>
      </c>
      <c r="H99" s="308">
        <v>0</v>
      </c>
      <c r="I99" s="308">
        <v>1432.54</v>
      </c>
      <c r="J99" s="309">
        <v>0</v>
      </c>
      <c r="K99" s="309">
        <v>0</v>
      </c>
      <c r="L99" s="309">
        <f t="shared" si="69"/>
        <v>0</v>
      </c>
      <c r="M99" s="309">
        <f t="shared" si="66"/>
        <v>1432.54</v>
      </c>
      <c r="N99" s="311" t="e">
        <f t="shared" si="67"/>
        <v>#DIV/0!</v>
      </c>
      <c r="O99" s="309">
        <v>0</v>
      </c>
      <c r="P99" s="311" t="e">
        <f t="shared" si="68"/>
        <v>#DIV/0!</v>
      </c>
    </row>
    <row r="100" spans="1:16" x14ac:dyDescent="0.2">
      <c r="A100" s="303" t="s">
        <v>133</v>
      </c>
      <c r="B100" s="304" t="s">
        <v>134</v>
      </c>
      <c r="C100" s="308">
        <f t="shared" si="64"/>
        <v>3449.69</v>
      </c>
      <c r="D100" s="308">
        <v>1057.4000000000001</v>
      </c>
      <c r="E100" s="308">
        <v>2190.4699999999998</v>
      </c>
      <c r="F100" s="308">
        <v>201.82</v>
      </c>
      <c r="G100" s="308">
        <f t="shared" si="65"/>
        <v>2006.84</v>
      </c>
      <c r="H100" s="308">
        <v>0</v>
      </c>
      <c r="I100" s="308">
        <v>1964.74</v>
      </c>
      <c r="J100" s="309">
        <v>42.1</v>
      </c>
      <c r="K100" s="309">
        <v>5589.9000000000087</v>
      </c>
      <c r="L100" s="309">
        <f t="shared" si="69"/>
        <v>4192.43</v>
      </c>
      <c r="M100" s="309">
        <f t="shared" si="66"/>
        <v>3560.37</v>
      </c>
      <c r="N100" s="311">
        <f t="shared" si="67"/>
        <v>0.84923779287907009</v>
      </c>
      <c r="O100" s="309">
        <v>1369.9</v>
      </c>
      <c r="P100" s="311">
        <f t="shared" si="68"/>
        <v>0.3267556047447423</v>
      </c>
    </row>
    <row r="101" spans="1:16" s="302" customFormat="1" ht="13.15" customHeight="1" x14ac:dyDescent="0.2">
      <c r="A101" s="359" t="s">
        <v>26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1"/>
      <c r="P101" s="301"/>
    </row>
    <row r="102" spans="1:16" x14ac:dyDescent="0.2">
      <c r="A102" s="303" t="s">
        <v>121</v>
      </c>
      <c r="B102" s="304" t="s">
        <v>122</v>
      </c>
      <c r="C102" s="305">
        <f>SUM(C104:C109)</f>
        <v>31610.890000000003</v>
      </c>
      <c r="D102" s="305">
        <f>SUM(D104:D109)</f>
        <v>1263.8800000000001</v>
      </c>
      <c r="E102" s="305">
        <f t="shared" ref="E102:O102" si="70">SUM(E104:E109)</f>
        <v>29989.33</v>
      </c>
      <c r="F102" s="305">
        <f t="shared" si="70"/>
        <v>357.68</v>
      </c>
      <c r="G102" s="305">
        <f t="shared" si="70"/>
        <v>27374.47</v>
      </c>
      <c r="H102" s="305">
        <f t="shared" si="70"/>
        <v>1263.8800000000001</v>
      </c>
      <c r="I102" s="305">
        <f t="shared" si="70"/>
        <v>26110.590000000004</v>
      </c>
      <c r="J102" s="305">
        <f t="shared" si="70"/>
        <v>0</v>
      </c>
      <c r="K102" s="305">
        <f t="shared" si="70"/>
        <v>86115.4</v>
      </c>
      <c r="L102" s="305">
        <f t="shared" si="70"/>
        <v>64586.559999999998</v>
      </c>
      <c r="M102" s="305">
        <f t="shared" si="70"/>
        <v>94442.330000000016</v>
      </c>
      <c r="N102" s="306">
        <f>M102/L102</f>
        <v>1.4622597952267471</v>
      </c>
      <c r="O102" s="305">
        <f t="shared" si="70"/>
        <v>64453</v>
      </c>
      <c r="P102" s="306">
        <f>O102/L102</f>
        <v>0.99793207750962432</v>
      </c>
    </row>
    <row r="103" spans="1:16" x14ac:dyDescent="0.2">
      <c r="A103" s="303"/>
      <c r="B103" s="307" t="s">
        <v>107</v>
      </c>
      <c r="C103" s="308"/>
      <c r="D103" s="308"/>
      <c r="E103" s="308"/>
      <c r="F103" s="308"/>
      <c r="G103" s="308"/>
      <c r="H103" s="308"/>
      <c r="I103" s="308"/>
      <c r="J103" s="308"/>
      <c r="K103" s="309"/>
      <c r="L103" s="309"/>
      <c r="M103" s="309"/>
      <c r="N103" s="309"/>
      <c r="O103" s="309"/>
      <c r="P103" s="309"/>
    </row>
    <row r="104" spans="1:16" x14ac:dyDescent="0.2">
      <c r="A104" s="303" t="s">
        <v>123</v>
      </c>
      <c r="B104" s="310" t="s">
        <v>124</v>
      </c>
      <c r="C104" s="308">
        <f t="shared" ref="C104:C109" si="71">D104+E104+F104</f>
        <v>1455.21</v>
      </c>
      <c r="D104" s="308">
        <v>0</v>
      </c>
      <c r="E104" s="308">
        <v>1455.21</v>
      </c>
      <c r="F104" s="308">
        <v>0</v>
      </c>
      <c r="G104" s="308">
        <f t="shared" ref="G104:G109" si="72">H104+I104+J104</f>
        <v>1455.21</v>
      </c>
      <c r="H104" s="308">
        <v>0</v>
      </c>
      <c r="I104" s="308">
        <v>1455.21</v>
      </c>
      <c r="J104" s="308"/>
      <c r="K104" s="309">
        <v>0</v>
      </c>
      <c r="L104" s="309">
        <f>ROUND(K104/12*9,2)</f>
        <v>0</v>
      </c>
      <c r="M104" s="309">
        <f t="shared" ref="M104:M109" si="73">O104+E104</f>
        <v>1455.21</v>
      </c>
      <c r="N104" s="311" t="e">
        <f t="shared" ref="N104:N109" si="74">M104/L104</f>
        <v>#DIV/0!</v>
      </c>
      <c r="O104" s="309">
        <v>0</v>
      </c>
      <c r="P104" s="311" t="e">
        <f t="shared" ref="P104:P109" si="75">O104/L104</f>
        <v>#DIV/0!</v>
      </c>
    </row>
    <row r="105" spans="1:16" ht="25.5" x14ac:dyDescent="0.2">
      <c r="A105" s="303" t="s">
        <v>125</v>
      </c>
      <c r="B105" s="310" t="s">
        <v>126</v>
      </c>
      <c r="C105" s="308">
        <f t="shared" si="71"/>
        <v>1086.8</v>
      </c>
      <c r="D105" s="308">
        <v>965.64</v>
      </c>
      <c r="E105" s="308">
        <v>120.89</v>
      </c>
      <c r="F105" s="308">
        <v>0.27</v>
      </c>
      <c r="G105" s="308">
        <f t="shared" si="72"/>
        <v>965.64</v>
      </c>
      <c r="H105" s="308">
        <v>965.64</v>
      </c>
      <c r="I105" s="308">
        <v>0</v>
      </c>
      <c r="J105" s="308"/>
      <c r="K105" s="309">
        <v>0</v>
      </c>
      <c r="L105" s="309">
        <f t="shared" ref="L105:L109" si="76">ROUND(K105/12*9,2)</f>
        <v>0</v>
      </c>
      <c r="M105" s="309">
        <f t="shared" si="73"/>
        <v>120.89</v>
      </c>
      <c r="N105" s="311" t="e">
        <f t="shared" si="74"/>
        <v>#DIV/0!</v>
      </c>
      <c r="O105" s="309">
        <v>0</v>
      </c>
      <c r="P105" s="311" t="e">
        <f t="shared" si="75"/>
        <v>#DIV/0!</v>
      </c>
    </row>
    <row r="106" spans="1:16" x14ac:dyDescent="0.2">
      <c r="A106" s="303" t="s">
        <v>127</v>
      </c>
      <c r="B106" s="304" t="s">
        <v>128</v>
      </c>
      <c r="C106" s="308">
        <f t="shared" si="71"/>
        <v>3677.31</v>
      </c>
      <c r="D106" s="308">
        <v>0</v>
      </c>
      <c r="E106" s="308">
        <v>3470.95</v>
      </c>
      <c r="F106" s="308">
        <v>206.36</v>
      </c>
      <c r="G106" s="308">
        <f t="shared" si="72"/>
        <v>0</v>
      </c>
      <c r="H106" s="308">
        <v>0</v>
      </c>
      <c r="I106" s="308">
        <v>0</v>
      </c>
      <c r="J106" s="308"/>
      <c r="K106" s="309">
        <v>82541.7</v>
      </c>
      <c r="L106" s="309">
        <f t="shared" si="76"/>
        <v>61906.28</v>
      </c>
      <c r="M106" s="309">
        <f t="shared" si="73"/>
        <v>67401.070000000007</v>
      </c>
      <c r="N106" s="311">
        <f t="shared" si="74"/>
        <v>1.0887598156439058</v>
      </c>
      <c r="O106" s="309">
        <v>63930.12</v>
      </c>
      <c r="P106" s="311">
        <f t="shared" si="75"/>
        <v>1.0326919982916112</v>
      </c>
    </row>
    <row r="107" spans="1:16" ht="25.5" x14ac:dyDescent="0.2">
      <c r="A107" s="312" t="s">
        <v>129</v>
      </c>
      <c r="B107" s="304" t="s">
        <v>130</v>
      </c>
      <c r="C107" s="308">
        <f t="shared" si="71"/>
        <v>17894.580000000002</v>
      </c>
      <c r="D107" s="308">
        <v>0</v>
      </c>
      <c r="E107" s="308">
        <v>17871.240000000002</v>
      </c>
      <c r="F107" s="308">
        <v>23.34</v>
      </c>
      <c r="G107" s="308">
        <f t="shared" si="72"/>
        <v>17871.240000000002</v>
      </c>
      <c r="H107" s="308">
        <v>0</v>
      </c>
      <c r="I107" s="308">
        <v>17871.240000000002</v>
      </c>
      <c r="J107" s="308"/>
      <c r="K107" s="309"/>
      <c r="L107" s="309">
        <f t="shared" si="76"/>
        <v>0</v>
      </c>
      <c r="M107" s="309">
        <f t="shared" si="73"/>
        <v>17871.240000000002</v>
      </c>
      <c r="N107" s="311" t="e">
        <f t="shared" si="74"/>
        <v>#DIV/0!</v>
      </c>
      <c r="O107" s="309">
        <v>0</v>
      </c>
      <c r="P107" s="311" t="e">
        <f t="shared" si="75"/>
        <v>#DIV/0!</v>
      </c>
    </row>
    <row r="108" spans="1:16" x14ac:dyDescent="0.2">
      <c r="A108" s="303" t="s">
        <v>131</v>
      </c>
      <c r="B108" s="304" t="s">
        <v>132</v>
      </c>
      <c r="C108" s="308">
        <f t="shared" si="71"/>
        <v>5473.22</v>
      </c>
      <c r="D108" s="308">
        <v>0</v>
      </c>
      <c r="E108" s="308">
        <v>5473.22</v>
      </c>
      <c r="F108" s="308">
        <v>0</v>
      </c>
      <c r="G108" s="308">
        <f t="shared" si="72"/>
        <v>5473.22</v>
      </c>
      <c r="H108" s="308">
        <v>0</v>
      </c>
      <c r="I108" s="308">
        <v>5473.22</v>
      </c>
      <c r="J108" s="308"/>
      <c r="K108" s="309"/>
      <c r="L108" s="309">
        <f t="shared" si="76"/>
        <v>0</v>
      </c>
      <c r="M108" s="309">
        <f t="shared" si="73"/>
        <v>5473.22</v>
      </c>
      <c r="N108" s="311" t="e">
        <f t="shared" si="74"/>
        <v>#DIV/0!</v>
      </c>
      <c r="O108" s="309">
        <v>0</v>
      </c>
      <c r="P108" s="311" t="e">
        <f t="shared" si="75"/>
        <v>#DIV/0!</v>
      </c>
    </row>
    <row r="109" spans="1:16" x14ac:dyDescent="0.2">
      <c r="A109" s="303" t="s">
        <v>133</v>
      </c>
      <c r="B109" s="304" t="s">
        <v>134</v>
      </c>
      <c r="C109" s="308">
        <f t="shared" si="71"/>
        <v>2023.77</v>
      </c>
      <c r="D109" s="308">
        <v>298.24</v>
      </c>
      <c r="E109" s="308">
        <v>1597.82</v>
      </c>
      <c r="F109" s="308">
        <v>127.71</v>
      </c>
      <c r="G109" s="308">
        <f t="shared" si="72"/>
        <v>1609.16</v>
      </c>
      <c r="H109" s="308">
        <v>298.24</v>
      </c>
      <c r="I109" s="308">
        <v>1310.92</v>
      </c>
      <c r="J109" s="308"/>
      <c r="K109" s="309">
        <v>3573.6999999999971</v>
      </c>
      <c r="L109" s="309">
        <f t="shared" si="76"/>
        <v>2680.28</v>
      </c>
      <c r="M109" s="309">
        <f t="shared" si="73"/>
        <v>2120.6999999999998</v>
      </c>
      <c r="N109" s="311">
        <f t="shared" si="74"/>
        <v>0.79122330502783278</v>
      </c>
      <c r="O109" s="309">
        <v>522.88</v>
      </c>
      <c r="P109" s="311">
        <f t="shared" si="75"/>
        <v>0.1950840956914949</v>
      </c>
    </row>
    <row r="110" spans="1:16" s="302" customFormat="1" ht="13.15" customHeight="1" x14ac:dyDescent="0.2">
      <c r="A110" s="359" t="s">
        <v>25</v>
      </c>
      <c r="B110" s="360"/>
      <c r="C110" s="360"/>
      <c r="D110" s="360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361"/>
      <c r="P110" s="301"/>
    </row>
    <row r="111" spans="1:16" x14ac:dyDescent="0.2">
      <c r="A111" s="303" t="s">
        <v>121</v>
      </c>
      <c r="B111" s="304" t="s">
        <v>122</v>
      </c>
      <c r="C111" s="305">
        <f>SUM(C113:C118)</f>
        <v>8951.2900000000009</v>
      </c>
      <c r="D111" s="305">
        <f>SUM(D113:D118)</f>
        <v>8606.6500000000015</v>
      </c>
      <c r="E111" s="305">
        <f t="shared" ref="E111:O111" si="77">SUM(E113:E118)</f>
        <v>344.64</v>
      </c>
      <c r="F111" s="305">
        <f t="shared" si="77"/>
        <v>0</v>
      </c>
      <c r="G111" s="305">
        <f t="shared" si="77"/>
        <v>2766.88</v>
      </c>
      <c r="H111" s="305">
        <f t="shared" si="77"/>
        <v>2766.13</v>
      </c>
      <c r="I111" s="305">
        <f t="shared" si="77"/>
        <v>0.75</v>
      </c>
      <c r="J111" s="305">
        <f t="shared" si="77"/>
        <v>0</v>
      </c>
      <c r="K111" s="305">
        <f t="shared" si="77"/>
        <v>14579.87</v>
      </c>
      <c r="L111" s="305">
        <f t="shared" si="77"/>
        <v>10934.9</v>
      </c>
      <c r="M111" s="305">
        <f t="shared" si="77"/>
        <v>6489.49</v>
      </c>
      <c r="N111" s="306">
        <f>M111/L111</f>
        <v>0.59346587531664674</v>
      </c>
      <c r="O111" s="305">
        <f t="shared" si="77"/>
        <v>6144.8499999999995</v>
      </c>
      <c r="P111" s="306">
        <f>O111/L111</f>
        <v>0.56194844031495483</v>
      </c>
    </row>
    <row r="112" spans="1:16" x14ac:dyDescent="0.2">
      <c r="A112" s="303"/>
      <c r="B112" s="307" t="s">
        <v>107</v>
      </c>
      <c r="C112" s="308"/>
      <c r="D112" s="308"/>
      <c r="E112" s="308"/>
      <c r="F112" s="308"/>
      <c r="G112" s="308"/>
      <c r="H112" s="308"/>
      <c r="I112" s="308"/>
      <c r="J112" s="308"/>
      <c r="K112" s="309"/>
      <c r="L112" s="309"/>
      <c r="M112" s="309"/>
      <c r="N112" s="309"/>
      <c r="O112" s="309"/>
      <c r="P112" s="309"/>
    </row>
    <row r="113" spans="1:16" x14ac:dyDescent="0.2">
      <c r="A113" s="303" t="s">
        <v>123</v>
      </c>
      <c r="B113" s="310" t="s">
        <v>124</v>
      </c>
      <c r="C113" s="308">
        <f t="shared" ref="C113:C118" si="78">D113+E113+F113</f>
        <v>475.22</v>
      </c>
      <c r="D113" s="308">
        <v>475.22</v>
      </c>
      <c r="E113" s="308">
        <v>0</v>
      </c>
      <c r="F113" s="308"/>
      <c r="G113" s="308">
        <f t="shared" ref="G113:G118" si="79">H113+I113+J113</f>
        <v>0</v>
      </c>
      <c r="H113" s="308">
        <v>0</v>
      </c>
      <c r="I113" s="308">
        <v>0</v>
      </c>
      <c r="J113" s="308"/>
      <c r="K113" s="309">
        <v>1000</v>
      </c>
      <c r="L113" s="309">
        <f>ROUND(K113/12*9,2)</f>
        <v>750</v>
      </c>
      <c r="M113" s="309">
        <f t="shared" ref="M113:M118" si="80">O113+E113</f>
        <v>919.93</v>
      </c>
      <c r="N113" s="311">
        <f t="shared" ref="N113:N118" si="81">M113/L113</f>
        <v>1.2265733333333333</v>
      </c>
      <c r="O113" s="309">
        <v>919.93</v>
      </c>
      <c r="P113" s="311">
        <f t="shared" ref="P113:P118" si="82">O113/L113</f>
        <v>1.2265733333333333</v>
      </c>
    </row>
    <row r="114" spans="1:16" ht="25.5" x14ac:dyDescent="0.2">
      <c r="A114" s="303" t="s">
        <v>125</v>
      </c>
      <c r="B114" s="310" t="s">
        <v>126</v>
      </c>
      <c r="C114" s="308">
        <f t="shared" si="78"/>
        <v>408.2</v>
      </c>
      <c r="D114" s="308">
        <v>408.2</v>
      </c>
      <c r="E114" s="308">
        <v>0</v>
      </c>
      <c r="F114" s="308"/>
      <c r="G114" s="308">
        <f t="shared" si="79"/>
        <v>37.07</v>
      </c>
      <c r="H114" s="308">
        <v>37.07</v>
      </c>
      <c r="I114" s="308">
        <v>0</v>
      </c>
      <c r="J114" s="308"/>
      <c r="K114" s="309">
        <v>0</v>
      </c>
      <c r="L114" s="309">
        <f t="shared" ref="L114:L118" si="83">ROUND(K114/12*9,2)</f>
        <v>0</v>
      </c>
      <c r="M114" s="309">
        <f t="shared" si="80"/>
        <v>16.34</v>
      </c>
      <c r="N114" s="311" t="e">
        <f t="shared" si="81"/>
        <v>#DIV/0!</v>
      </c>
      <c r="O114" s="309">
        <v>16.34</v>
      </c>
      <c r="P114" s="311" t="e">
        <f t="shared" si="82"/>
        <v>#DIV/0!</v>
      </c>
    </row>
    <row r="115" spans="1:16" x14ac:dyDescent="0.2">
      <c r="A115" s="303" t="s">
        <v>127</v>
      </c>
      <c r="B115" s="304" t="s">
        <v>128</v>
      </c>
      <c r="C115" s="308">
        <f t="shared" si="78"/>
        <v>2009.12</v>
      </c>
      <c r="D115" s="308">
        <v>1914.6</v>
      </c>
      <c r="E115" s="308">
        <v>94.52</v>
      </c>
      <c r="F115" s="308"/>
      <c r="G115" s="308">
        <f t="shared" si="79"/>
        <v>0</v>
      </c>
      <c r="H115" s="308">
        <v>0</v>
      </c>
      <c r="I115" s="308">
        <v>0</v>
      </c>
      <c r="J115" s="308"/>
      <c r="K115" s="309">
        <v>7838.64</v>
      </c>
      <c r="L115" s="309">
        <f t="shared" si="83"/>
        <v>5878.98</v>
      </c>
      <c r="M115" s="309">
        <f t="shared" si="80"/>
        <v>3761.73</v>
      </c>
      <c r="N115" s="311">
        <f t="shared" si="81"/>
        <v>0.63986099629527571</v>
      </c>
      <c r="O115" s="309">
        <v>3667.21</v>
      </c>
      <c r="P115" s="311">
        <f t="shared" si="82"/>
        <v>0.62378337738859468</v>
      </c>
    </row>
    <row r="116" spans="1:16" ht="25.5" x14ac:dyDescent="0.2">
      <c r="A116" s="312" t="s">
        <v>129</v>
      </c>
      <c r="B116" s="304" t="s">
        <v>130</v>
      </c>
      <c r="C116" s="308">
        <f t="shared" si="78"/>
        <v>2221.67</v>
      </c>
      <c r="D116" s="308">
        <v>1997.19</v>
      </c>
      <c r="E116" s="308">
        <v>224.48</v>
      </c>
      <c r="F116" s="308"/>
      <c r="G116" s="308">
        <f t="shared" si="79"/>
        <v>0</v>
      </c>
      <c r="H116" s="308">
        <v>0</v>
      </c>
      <c r="I116" s="308">
        <v>0</v>
      </c>
      <c r="J116" s="308"/>
      <c r="K116" s="309">
        <v>2367.27</v>
      </c>
      <c r="L116" s="309">
        <f t="shared" si="83"/>
        <v>1775.45</v>
      </c>
      <c r="M116" s="309">
        <f t="shared" si="80"/>
        <v>978.43000000000006</v>
      </c>
      <c r="N116" s="311">
        <f t="shared" si="81"/>
        <v>0.55108845644766113</v>
      </c>
      <c r="O116" s="309">
        <v>753.95</v>
      </c>
      <c r="P116" s="311">
        <f t="shared" si="82"/>
        <v>0.42465290489734997</v>
      </c>
    </row>
    <row r="117" spans="1:16" x14ac:dyDescent="0.2">
      <c r="A117" s="303" t="s">
        <v>131</v>
      </c>
      <c r="B117" s="304" t="s">
        <v>132</v>
      </c>
      <c r="C117" s="308">
        <f t="shared" si="78"/>
        <v>266.60000000000002</v>
      </c>
      <c r="D117" s="308">
        <v>265.85000000000002</v>
      </c>
      <c r="E117" s="308">
        <v>0.75</v>
      </c>
      <c r="F117" s="308"/>
      <c r="G117" s="308">
        <f t="shared" si="79"/>
        <v>266.60000000000002</v>
      </c>
      <c r="H117" s="308">
        <v>265.85000000000002</v>
      </c>
      <c r="I117" s="308">
        <v>0.75</v>
      </c>
      <c r="J117" s="308"/>
      <c r="K117" s="309">
        <v>10</v>
      </c>
      <c r="L117" s="309">
        <f t="shared" si="83"/>
        <v>7.5</v>
      </c>
      <c r="M117" s="309">
        <f t="shared" si="80"/>
        <v>10.75</v>
      </c>
      <c r="N117" s="311">
        <f t="shared" si="81"/>
        <v>1.4333333333333333</v>
      </c>
      <c r="O117" s="309">
        <v>10</v>
      </c>
      <c r="P117" s="311">
        <f t="shared" si="82"/>
        <v>1.3333333333333333</v>
      </c>
    </row>
    <row r="118" spans="1:16" x14ac:dyDescent="0.2">
      <c r="A118" s="303" t="s">
        <v>133</v>
      </c>
      <c r="B118" s="304" t="s">
        <v>134</v>
      </c>
      <c r="C118" s="308">
        <f t="shared" si="78"/>
        <v>3570.48</v>
      </c>
      <c r="D118" s="308">
        <v>3545.59</v>
      </c>
      <c r="E118" s="308">
        <v>24.89</v>
      </c>
      <c r="F118" s="308"/>
      <c r="G118" s="308">
        <f t="shared" si="79"/>
        <v>2463.21</v>
      </c>
      <c r="H118" s="308">
        <v>2463.21</v>
      </c>
      <c r="I118" s="308">
        <v>0</v>
      </c>
      <c r="J118" s="308"/>
      <c r="K118" s="309">
        <v>3363.9600000000009</v>
      </c>
      <c r="L118" s="309">
        <f t="shared" si="83"/>
        <v>2522.9699999999998</v>
      </c>
      <c r="M118" s="309">
        <f t="shared" si="80"/>
        <v>802.31</v>
      </c>
      <c r="N118" s="311">
        <f t="shared" si="81"/>
        <v>0.31800219582476208</v>
      </c>
      <c r="O118" s="309">
        <v>777.42</v>
      </c>
      <c r="P118" s="311">
        <f t="shared" si="82"/>
        <v>0.30813683872578745</v>
      </c>
    </row>
    <row r="119" spans="1:16" s="302" customFormat="1" ht="13.15" customHeight="1" x14ac:dyDescent="0.2">
      <c r="A119" s="359" t="s">
        <v>27</v>
      </c>
      <c r="B119" s="360"/>
      <c r="C119" s="360"/>
      <c r="D119" s="360"/>
      <c r="E119" s="360"/>
      <c r="F119" s="360"/>
      <c r="G119" s="360"/>
      <c r="H119" s="360"/>
      <c r="I119" s="360"/>
      <c r="J119" s="360"/>
      <c r="K119" s="360"/>
      <c r="L119" s="360"/>
      <c r="M119" s="360"/>
      <c r="N119" s="360"/>
      <c r="O119" s="361"/>
      <c r="P119" s="301"/>
    </row>
    <row r="120" spans="1:16" x14ac:dyDescent="0.2">
      <c r="A120" s="303" t="s">
        <v>121</v>
      </c>
      <c r="B120" s="304" t="s">
        <v>122</v>
      </c>
      <c r="C120" s="305">
        <f>SUM(C122:C127)</f>
        <v>64989.69000000001</v>
      </c>
      <c r="D120" s="305">
        <f>SUM(D122:D127)</f>
        <v>3640.1800000000003</v>
      </c>
      <c r="E120" s="305">
        <f t="shared" ref="E120:O120" si="84">SUM(E122:E127)</f>
        <v>59652.180000000008</v>
      </c>
      <c r="F120" s="305">
        <f t="shared" si="84"/>
        <v>1697.33</v>
      </c>
      <c r="G120" s="305">
        <f t="shared" si="84"/>
        <v>50432.280000000006</v>
      </c>
      <c r="H120" s="305">
        <f t="shared" si="84"/>
        <v>707.14</v>
      </c>
      <c r="I120" s="305">
        <f t="shared" si="84"/>
        <v>49725.140000000007</v>
      </c>
      <c r="J120" s="305">
        <f t="shared" si="84"/>
        <v>0</v>
      </c>
      <c r="K120" s="305">
        <f t="shared" si="84"/>
        <v>194868.91</v>
      </c>
      <c r="L120" s="305">
        <f t="shared" si="84"/>
        <v>146151.67999999999</v>
      </c>
      <c r="M120" s="305">
        <f t="shared" si="84"/>
        <v>208779.07</v>
      </c>
      <c r="N120" s="306">
        <f>M120/L120</f>
        <v>1.4285095456993722</v>
      </c>
      <c r="O120" s="305">
        <f t="shared" si="84"/>
        <v>149126.88999999998</v>
      </c>
      <c r="P120" s="306">
        <f>O120/L120</f>
        <v>1.0203570017121937</v>
      </c>
    </row>
    <row r="121" spans="1:16" x14ac:dyDescent="0.2">
      <c r="A121" s="303"/>
      <c r="B121" s="307" t="s">
        <v>107</v>
      </c>
      <c r="C121" s="308"/>
      <c r="D121" s="308"/>
      <c r="E121" s="308"/>
      <c r="F121" s="308"/>
      <c r="G121" s="308"/>
      <c r="H121" s="308"/>
      <c r="I121" s="308"/>
      <c r="J121" s="308"/>
      <c r="K121" s="309"/>
      <c r="L121" s="309"/>
      <c r="M121" s="309"/>
      <c r="N121" s="309"/>
      <c r="O121" s="309"/>
      <c r="P121" s="309"/>
    </row>
    <row r="122" spans="1:16" x14ac:dyDescent="0.2">
      <c r="A122" s="303" t="s">
        <v>123</v>
      </c>
      <c r="B122" s="310" t="s">
        <v>124</v>
      </c>
      <c r="C122" s="308">
        <f t="shared" ref="C122:C127" si="85">D122+E122+F122</f>
        <v>5994.74</v>
      </c>
      <c r="D122" s="308">
        <v>536.86</v>
      </c>
      <c r="E122" s="308">
        <v>5457.88</v>
      </c>
      <c r="F122" s="308">
        <v>0</v>
      </c>
      <c r="G122" s="308">
        <f t="shared" ref="G122:G127" si="86">H122+I122+J122</f>
        <v>4738.68</v>
      </c>
      <c r="H122" s="308">
        <v>398.04</v>
      </c>
      <c r="I122" s="308">
        <v>4340.6400000000003</v>
      </c>
      <c r="J122" s="308"/>
      <c r="K122" s="309">
        <v>0</v>
      </c>
      <c r="L122" s="309">
        <f>ROUND(K122/12*9,2)</f>
        <v>0</v>
      </c>
      <c r="M122" s="309">
        <f t="shared" ref="M122:M127" si="87">O122+E122</f>
        <v>5457.88</v>
      </c>
      <c r="N122" s="311" t="e">
        <f t="shared" ref="N122:N127" si="88">M122/L122</f>
        <v>#DIV/0!</v>
      </c>
      <c r="O122" s="309">
        <v>0</v>
      </c>
      <c r="P122" s="311" t="e">
        <f t="shared" ref="P122:P127" si="89">O122/L122</f>
        <v>#DIV/0!</v>
      </c>
    </row>
    <row r="123" spans="1:16" ht="25.5" x14ac:dyDescent="0.2">
      <c r="A123" s="303" t="s">
        <v>125</v>
      </c>
      <c r="B123" s="310" t="s">
        <v>126</v>
      </c>
      <c r="C123" s="308">
        <f t="shared" si="85"/>
        <v>1962.82</v>
      </c>
      <c r="D123" s="308">
        <v>255.1</v>
      </c>
      <c r="E123" s="308">
        <v>1707.72</v>
      </c>
      <c r="F123" s="308">
        <v>0</v>
      </c>
      <c r="G123" s="308">
        <f t="shared" si="86"/>
        <v>1835.75</v>
      </c>
      <c r="H123" s="308">
        <v>255.1</v>
      </c>
      <c r="I123" s="308">
        <v>1580.65</v>
      </c>
      <c r="J123" s="308"/>
      <c r="K123" s="309">
        <v>0</v>
      </c>
      <c r="L123" s="309">
        <f t="shared" ref="L123:L127" si="90">ROUND(K123/12*9,2)</f>
        <v>0</v>
      </c>
      <c r="M123" s="309">
        <f t="shared" si="87"/>
        <v>1707.72</v>
      </c>
      <c r="N123" s="311" t="e">
        <f t="shared" si="88"/>
        <v>#DIV/0!</v>
      </c>
      <c r="O123" s="309">
        <v>0</v>
      </c>
      <c r="P123" s="311" t="e">
        <f t="shared" si="89"/>
        <v>#DIV/0!</v>
      </c>
    </row>
    <row r="124" spans="1:16" x14ac:dyDescent="0.2">
      <c r="A124" s="303" t="s">
        <v>127</v>
      </c>
      <c r="B124" s="304" t="s">
        <v>128</v>
      </c>
      <c r="C124" s="308">
        <f t="shared" si="85"/>
        <v>9911.02</v>
      </c>
      <c r="D124" s="308">
        <v>858.99</v>
      </c>
      <c r="E124" s="308">
        <v>7733.84</v>
      </c>
      <c r="F124" s="308">
        <v>1318.19</v>
      </c>
      <c r="G124" s="308">
        <f t="shared" si="86"/>
        <v>0</v>
      </c>
      <c r="H124" s="308">
        <v>0</v>
      </c>
      <c r="I124" s="308">
        <v>0</v>
      </c>
      <c r="J124" s="308"/>
      <c r="K124" s="309">
        <v>188368.11</v>
      </c>
      <c r="L124" s="309">
        <f t="shared" si="90"/>
        <v>141276.07999999999</v>
      </c>
      <c r="M124" s="309">
        <f t="shared" si="87"/>
        <v>138846.99</v>
      </c>
      <c r="N124" s="311">
        <f t="shared" si="88"/>
        <v>0.98280607729206537</v>
      </c>
      <c r="O124" s="309">
        <v>131113.15</v>
      </c>
      <c r="P124" s="311">
        <f t="shared" si="89"/>
        <v>0.92806333527940477</v>
      </c>
    </row>
    <row r="125" spans="1:16" ht="25.5" x14ac:dyDescent="0.2">
      <c r="A125" s="312" t="s">
        <v>129</v>
      </c>
      <c r="B125" s="304" t="s">
        <v>130</v>
      </c>
      <c r="C125" s="308">
        <f t="shared" si="85"/>
        <v>42608.840000000004</v>
      </c>
      <c r="D125" s="308">
        <v>394.97</v>
      </c>
      <c r="E125" s="308">
        <v>41834.730000000003</v>
      </c>
      <c r="F125" s="308">
        <v>379.14</v>
      </c>
      <c r="G125" s="308">
        <f t="shared" si="86"/>
        <v>41834.730000000003</v>
      </c>
      <c r="H125" s="308">
        <v>0</v>
      </c>
      <c r="I125" s="308">
        <v>41834.730000000003</v>
      </c>
      <c r="J125" s="308"/>
      <c r="K125" s="309">
        <v>0</v>
      </c>
      <c r="L125" s="309">
        <f t="shared" si="90"/>
        <v>0</v>
      </c>
      <c r="M125" s="309">
        <f t="shared" si="87"/>
        <v>57421.310000000005</v>
      </c>
      <c r="N125" s="311" t="e">
        <f t="shared" si="88"/>
        <v>#DIV/0!</v>
      </c>
      <c r="O125" s="309">
        <v>15586.58</v>
      </c>
      <c r="P125" s="311" t="e">
        <f t="shared" si="89"/>
        <v>#DIV/0!</v>
      </c>
    </row>
    <row r="126" spans="1:16" x14ac:dyDescent="0.2">
      <c r="A126" s="303" t="s">
        <v>131</v>
      </c>
      <c r="B126" s="304" t="s">
        <v>132</v>
      </c>
      <c r="C126" s="308">
        <f t="shared" si="85"/>
        <v>629.73</v>
      </c>
      <c r="D126" s="308">
        <v>0</v>
      </c>
      <c r="E126" s="308">
        <v>629.73</v>
      </c>
      <c r="F126" s="308">
        <v>0</v>
      </c>
      <c r="G126" s="308">
        <f t="shared" si="86"/>
        <v>0</v>
      </c>
      <c r="H126" s="308">
        <v>0</v>
      </c>
      <c r="I126" s="308">
        <v>0</v>
      </c>
      <c r="J126" s="308"/>
      <c r="K126" s="309">
        <v>0</v>
      </c>
      <c r="L126" s="309">
        <f t="shared" si="90"/>
        <v>0</v>
      </c>
      <c r="M126" s="309">
        <f t="shared" si="87"/>
        <v>629.73</v>
      </c>
      <c r="N126" s="311" t="e">
        <f t="shared" si="88"/>
        <v>#DIV/0!</v>
      </c>
      <c r="O126" s="309">
        <v>0</v>
      </c>
      <c r="P126" s="311" t="e">
        <f t="shared" si="89"/>
        <v>#DIV/0!</v>
      </c>
    </row>
    <row r="127" spans="1:16" x14ac:dyDescent="0.2">
      <c r="A127" s="303" t="s">
        <v>133</v>
      </c>
      <c r="B127" s="304" t="s">
        <v>134</v>
      </c>
      <c r="C127" s="308">
        <f t="shared" si="85"/>
        <v>3882.54</v>
      </c>
      <c r="D127" s="308">
        <v>1594.26</v>
      </c>
      <c r="E127" s="308">
        <v>2288.2800000000002</v>
      </c>
      <c r="F127" s="308">
        <v>0</v>
      </c>
      <c r="G127" s="308">
        <f t="shared" si="86"/>
        <v>2023.12</v>
      </c>
      <c r="H127" s="308">
        <v>54</v>
      </c>
      <c r="I127" s="308">
        <v>1969.12</v>
      </c>
      <c r="J127" s="308"/>
      <c r="K127" s="309">
        <v>6500.8000000000175</v>
      </c>
      <c r="L127" s="309">
        <f t="shared" si="90"/>
        <v>4875.6000000000004</v>
      </c>
      <c r="M127" s="309">
        <f t="shared" si="87"/>
        <v>4715.4400000000005</v>
      </c>
      <c r="N127" s="311">
        <f t="shared" si="88"/>
        <v>0.9671507096562475</v>
      </c>
      <c r="O127" s="309">
        <v>2427.16</v>
      </c>
      <c r="P127" s="311">
        <f t="shared" si="89"/>
        <v>0.49781770448765272</v>
      </c>
    </row>
    <row r="128" spans="1:16" s="302" customFormat="1" ht="13.15" customHeight="1" x14ac:dyDescent="0.2">
      <c r="A128" s="359" t="s">
        <v>136</v>
      </c>
      <c r="B128" s="360"/>
      <c r="C128" s="360"/>
      <c r="D128" s="360"/>
      <c r="E128" s="360"/>
      <c r="F128" s="360"/>
      <c r="G128" s="360"/>
      <c r="H128" s="360"/>
      <c r="I128" s="360"/>
      <c r="J128" s="360"/>
      <c r="K128" s="360"/>
      <c r="L128" s="360"/>
      <c r="M128" s="360"/>
      <c r="N128" s="360"/>
      <c r="O128" s="361"/>
      <c r="P128" s="301"/>
    </row>
    <row r="129" spans="1:16" x14ac:dyDescent="0.2">
      <c r="A129" s="303" t="s">
        <v>121</v>
      </c>
      <c r="B129" s="304" t="s">
        <v>122</v>
      </c>
      <c r="C129" s="305">
        <f>SUM(C131:C136)</f>
        <v>25967.19</v>
      </c>
      <c r="D129" s="305">
        <f>SUM(D131:D136)</f>
        <v>1194.3800000000001</v>
      </c>
      <c r="E129" s="305">
        <f t="shared" ref="E129:O129" si="91">SUM(E131:E136)</f>
        <v>24511.760000000002</v>
      </c>
      <c r="F129" s="305">
        <f t="shared" si="91"/>
        <v>261.05</v>
      </c>
      <c r="G129" s="305">
        <f t="shared" si="91"/>
        <v>18343.96</v>
      </c>
      <c r="H129" s="305">
        <f t="shared" si="91"/>
        <v>82.3</v>
      </c>
      <c r="I129" s="305">
        <f t="shared" si="91"/>
        <v>18261.66</v>
      </c>
      <c r="J129" s="305">
        <f t="shared" si="91"/>
        <v>0</v>
      </c>
      <c r="K129" s="305">
        <f t="shared" si="91"/>
        <v>104014.59</v>
      </c>
      <c r="L129" s="305">
        <f t="shared" si="91"/>
        <v>78010.940000000017</v>
      </c>
      <c r="M129" s="305">
        <f t="shared" si="91"/>
        <v>106556.11</v>
      </c>
      <c r="N129" s="306">
        <f>M129/L129</f>
        <v>1.3659123963895317</v>
      </c>
      <c r="O129" s="305">
        <f t="shared" si="91"/>
        <v>82044.350000000006</v>
      </c>
      <c r="P129" s="306">
        <f>O129/L129</f>
        <v>1.0517031329195621</v>
      </c>
    </row>
    <row r="130" spans="1:16" x14ac:dyDescent="0.2">
      <c r="A130" s="303"/>
      <c r="B130" s="307" t="s">
        <v>107</v>
      </c>
      <c r="C130" s="308"/>
      <c r="D130" s="308"/>
      <c r="E130" s="308"/>
      <c r="F130" s="308"/>
      <c r="G130" s="308"/>
      <c r="H130" s="308"/>
      <c r="I130" s="308"/>
      <c r="J130" s="308"/>
      <c r="K130" s="309"/>
      <c r="L130" s="309"/>
      <c r="M130" s="309"/>
      <c r="N130" s="309"/>
      <c r="O130" s="309"/>
      <c r="P130" s="309"/>
    </row>
    <row r="131" spans="1:16" x14ac:dyDescent="0.2">
      <c r="A131" s="303" t="s">
        <v>123</v>
      </c>
      <c r="B131" s="310" t="s">
        <v>124</v>
      </c>
      <c r="C131" s="308">
        <f t="shared" ref="C131:C136" si="92">D131+E131+F131</f>
        <v>3042.65</v>
      </c>
      <c r="D131" s="308">
        <v>82.82</v>
      </c>
      <c r="E131" s="308">
        <v>2959.83</v>
      </c>
      <c r="F131" s="308">
        <v>0</v>
      </c>
      <c r="G131" s="308">
        <f t="shared" ref="G131:G136" si="93">H131+I131+J131</f>
        <v>1897.09</v>
      </c>
      <c r="H131" s="308">
        <v>0</v>
      </c>
      <c r="I131" s="308">
        <v>1897.09</v>
      </c>
      <c r="J131" s="308"/>
      <c r="K131" s="309">
        <v>0</v>
      </c>
      <c r="L131" s="309">
        <f>ROUND(K131/12*9,2)</f>
        <v>0</v>
      </c>
      <c r="M131" s="309">
        <f t="shared" ref="M131:M136" si="94">O131+E131</f>
        <v>3259.83</v>
      </c>
      <c r="N131" s="311" t="e">
        <f t="shared" ref="N131:N136" si="95">M131/L131</f>
        <v>#DIV/0!</v>
      </c>
      <c r="O131" s="309">
        <v>300</v>
      </c>
      <c r="P131" s="311" t="e">
        <f t="shared" ref="P131:P136" si="96">O131/L131</f>
        <v>#DIV/0!</v>
      </c>
    </row>
    <row r="132" spans="1:16" ht="25.5" x14ac:dyDescent="0.2">
      <c r="A132" s="303" t="s">
        <v>125</v>
      </c>
      <c r="B132" s="310" t="s">
        <v>126</v>
      </c>
      <c r="C132" s="308">
        <f t="shared" si="92"/>
        <v>36.93</v>
      </c>
      <c r="D132" s="308">
        <v>36.93</v>
      </c>
      <c r="E132" s="308">
        <v>0</v>
      </c>
      <c r="F132" s="308">
        <v>0</v>
      </c>
      <c r="G132" s="308">
        <f t="shared" si="93"/>
        <v>0</v>
      </c>
      <c r="H132" s="308">
        <v>0</v>
      </c>
      <c r="I132" s="308">
        <v>0</v>
      </c>
      <c r="J132" s="308"/>
      <c r="K132" s="309">
        <v>0</v>
      </c>
      <c r="L132" s="309">
        <f t="shared" ref="L132:L136" si="97">ROUND(K132/12*9,2)</f>
        <v>0</v>
      </c>
      <c r="M132" s="309">
        <f t="shared" si="94"/>
        <v>27.62</v>
      </c>
      <c r="N132" s="311" t="e">
        <f t="shared" si="95"/>
        <v>#DIV/0!</v>
      </c>
      <c r="O132" s="309">
        <v>27.62</v>
      </c>
      <c r="P132" s="311" t="e">
        <f t="shared" si="96"/>
        <v>#DIV/0!</v>
      </c>
    </row>
    <row r="133" spans="1:16" x14ac:dyDescent="0.2">
      <c r="A133" s="303" t="s">
        <v>127</v>
      </c>
      <c r="B133" s="304" t="s">
        <v>128</v>
      </c>
      <c r="C133" s="308">
        <f t="shared" si="92"/>
        <v>3319.49</v>
      </c>
      <c r="D133" s="308">
        <v>136.06</v>
      </c>
      <c r="E133" s="308">
        <v>3183.43</v>
      </c>
      <c r="F133" s="308">
        <v>0</v>
      </c>
      <c r="G133" s="308">
        <f t="shared" si="93"/>
        <v>0</v>
      </c>
      <c r="H133" s="308">
        <v>0</v>
      </c>
      <c r="I133" s="308">
        <v>0</v>
      </c>
      <c r="J133" s="308"/>
      <c r="K133" s="309">
        <v>97191.32</v>
      </c>
      <c r="L133" s="309">
        <f t="shared" si="97"/>
        <v>72893.490000000005</v>
      </c>
      <c r="M133" s="309">
        <f t="shared" si="94"/>
        <v>74221.45</v>
      </c>
      <c r="N133" s="311">
        <f t="shared" si="95"/>
        <v>1.0182178134151623</v>
      </c>
      <c r="O133" s="309">
        <v>71038.02</v>
      </c>
      <c r="P133" s="311">
        <f t="shared" si="96"/>
        <v>0.9745454635249321</v>
      </c>
    </row>
    <row r="134" spans="1:16" ht="25.5" x14ac:dyDescent="0.2">
      <c r="A134" s="312" t="s">
        <v>129</v>
      </c>
      <c r="B134" s="304" t="s">
        <v>130</v>
      </c>
      <c r="C134" s="308">
        <f t="shared" si="92"/>
        <v>16470.02</v>
      </c>
      <c r="D134" s="308">
        <v>140.24</v>
      </c>
      <c r="E134" s="308">
        <v>16189.42</v>
      </c>
      <c r="F134" s="308">
        <v>140.36000000000001</v>
      </c>
      <c r="G134" s="308">
        <f t="shared" si="93"/>
        <v>14216.01</v>
      </c>
      <c r="H134" s="308">
        <v>0</v>
      </c>
      <c r="I134" s="308">
        <v>14216.01</v>
      </c>
      <c r="J134" s="308"/>
      <c r="K134" s="309">
        <v>3198.47</v>
      </c>
      <c r="L134" s="309">
        <f t="shared" si="97"/>
        <v>2398.85</v>
      </c>
      <c r="M134" s="309">
        <f t="shared" si="94"/>
        <v>24287.89</v>
      </c>
      <c r="N134" s="311">
        <f t="shared" si="95"/>
        <v>10.124805636033933</v>
      </c>
      <c r="O134" s="309">
        <v>8098.47</v>
      </c>
      <c r="P134" s="311">
        <f t="shared" si="96"/>
        <v>3.3759801571586388</v>
      </c>
    </row>
    <row r="135" spans="1:16" x14ac:dyDescent="0.2">
      <c r="A135" s="303" t="s">
        <v>131</v>
      </c>
      <c r="B135" s="304" t="s">
        <v>132</v>
      </c>
      <c r="C135" s="308">
        <f t="shared" si="92"/>
        <v>82.3</v>
      </c>
      <c r="D135" s="308">
        <v>82.3</v>
      </c>
      <c r="E135" s="308">
        <v>0</v>
      </c>
      <c r="F135" s="308">
        <v>0</v>
      </c>
      <c r="G135" s="308">
        <f t="shared" si="93"/>
        <v>82.3</v>
      </c>
      <c r="H135" s="308">
        <v>82.3</v>
      </c>
      <c r="I135" s="308">
        <v>0</v>
      </c>
      <c r="J135" s="308"/>
      <c r="K135" s="309">
        <v>0</v>
      </c>
      <c r="L135" s="309">
        <f t="shared" si="97"/>
        <v>0</v>
      </c>
      <c r="M135" s="309">
        <f t="shared" si="94"/>
        <v>88.1</v>
      </c>
      <c r="N135" s="311" t="e">
        <f t="shared" si="95"/>
        <v>#DIV/0!</v>
      </c>
      <c r="O135" s="309">
        <v>88.1</v>
      </c>
      <c r="P135" s="311" t="e">
        <f t="shared" si="96"/>
        <v>#DIV/0!</v>
      </c>
    </row>
    <row r="136" spans="1:16" x14ac:dyDescent="0.2">
      <c r="A136" s="303" t="s">
        <v>133</v>
      </c>
      <c r="B136" s="304" t="s">
        <v>134</v>
      </c>
      <c r="C136" s="308">
        <f t="shared" si="92"/>
        <v>3015.7999999999997</v>
      </c>
      <c r="D136" s="308">
        <v>716.03</v>
      </c>
      <c r="E136" s="308">
        <v>2179.08</v>
      </c>
      <c r="F136" s="308">
        <v>120.69</v>
      </c>
      <c r="G136" s="308">
        <f t="shared" si="93"/>
        <v>2148.56</v>
      </c>
      <c r="H136" s="308">
        <v>0</v>
      </c>
      <c r="I136" s="308">
        <v>2148.56</v>
      </c>
      <c r="J136" s="308"/>
      <c r="K136" s="309">
        <v>3624.7999999999884</v>
      </c>
      <c r="L136" s="309">
        <f t="shared" si="97"/>
        <v>2718.6</v>
      </c>
      <c r="M136" s="309">
        <f t="shared" si="94"/>
        <v>4671.2199999999993</v>
      </c>
      <c r="N136" s="311">
        <f t="shared" si="95"/>
        <v>1.7182446847642168</v>
      </c>
      <c r="O136" s="309">
        <v>2492.14</v>
      </c>
      <c r="P136" s="311">
        <f t="shared" si="96"/>
        <v>0.91669977194144048</v>
      </c>
    </row>
    <row r="137" spans="1:16" s="302" customFormat="1" ht="13.15" customHeight="1" x14ac:dyDescent="0.2">
      <c r="A137" s="359" t="s">
        <v>137</v>
      </c>
      <c r="B137" s="360"/>
      <c r="C137" s="360"/>
      <c r="D137" s="360"/>
      <c r="E137" s="360"/>
      <c r="F137" s="360"/>
      <c r="G137" s="360"/>
      <c r="H137" s="360"/>
      <c r="I137" s="360"/>
      <c r="J137" s="360"/>
      <c r="K137" s="360"/>
      <c r="L137" s="360"/>
      <c r="M137" s="360"/>
      <c r="N137" s="360"/>
      <c r="O137" s="361"/>
      <c r="P137" s="301"/>
    </row>
    <row r="138" spans="1:16" x14ac:dyDescent="0.2">
      <c r="A138" s="303" t="s">
        <v>121</v>
      </c>
      <c r="B138" s="304" t="s">
        <v>122</v>
      </c>
      <c r="C138" s="305">
        <f>SUM(C140:C145)</f>
        <v>73158.600000000006</v>
      </c>
      <c r="D138" s="305">
        <f>SUM(D140:D145)</f>
        <v>6458.92</v>
      </c>
      <c r="E138" s="305">
        <f t="shared" ref="E138:O138" si="98">SUM(E140:E145)</f>
        <v>63469.590000000004</v>
      </c>
      <c r="F138" s="305">
        <f t="shared" si="98"/>
        <v>3230.09</v>
      </c>
      <c r="G138" s="305">
        <f t="shared" si="98"/>
        <v>54855.67</v>
      </c>
      <c r="H138" s="305">
        <f t="shared" si="98"/>
        <v>5488.0499999999993</v>
      </c>
      <c r="I138" s="305">
        <f t="shared" si="98"/>
        <v>49367.62</v>
      </c>
      <c r="J138" s="305">
        <f t="shared" si="98"/>
        <v>0</v>
      </c>
      <c r="K138" s="305">
        <f t="shared" si="98"/>
        <v>180621.9</v>
      </c>
      <c r="L138" s="305">
        <f t="shared" si="98"/>
        <v>135466.43</v>
      </c>
      <c r="M138" s="305">
        <f t="shared" si="98"/>
        <v>191952.27999999997</v>
      </c>
      <c r="N138" s="306">
        <f>M138/L138</f>
        <v>1.4169730463849972</v>
      </c>
      <c r="O138" s="305">
        <f t="shared" si="98"/>
        <v>128482.69</v>
      </c>
      <c r="P138" s="306">
        <f>O138/L138</f>
        <v>0.94844671111507117</v>
      </c>
    </row>
    <row r="139" spans="1:16" x14ac:dyDescent="0.2">
      <c r="A139" s="303"/>
      <c r="B139" s="307" t="s">
        <v>107</v>
      </c>
      <c r="C139" s="308"/>
      <c r="D139" s="308"/>
      <c r="E139" s="308"/>
      <c r="F139" s="308"/>
      <c r="G139" s="308"/>
      <c r="H139" s="308"/>
      <c r="I139" s="308"/>
      <c r="J139" s="308"/>
      <c r="K139" s="309"/>
      <c r="L139" s="309"/>
      <c r="M139" s="309"/>
      <c r="N139" s="309"/>
      <c r="O139" s="309"/>
      <c r="P139" s="309"/>
    </row>
    <row r="140" spans="1:16" x14ac:dyDescent="0.2">
      <c r="A140" s="303" t="s">
        <v>123</v>
      </c>
      <c r="B140" s="310" t="s">
        <v>124</v>
      </c>
      <c r="C140" s="308">
        <f t="shared" ref="C140:C145" si="99">D140+E140+F140</f>
        <v>4965.2699999999995</v>
      </c>
      <c r="D140" s="308">
        <v>397.11</v>
      </c>
      <c r="E140" s="308">
        <v>4568.16</v>
      </c>
      <c r="F140" s="308">
        <v>0</v>
      </c>
      <c r="G140" s="308">
        <f t="shared" ref="G140:G145" si="100">H140+I140+J140</f>
        <v>4965.2699999999995</v>
      </c>
      <c r="H140" s="308">
        <v>397.11</v>
      </c>
      <c r="I140" s="308">
        <v>4568.16</v>
      </c>
      <c r="J140" s="308"/>
      <c r="K140" s="309">
        <v>0</v>
      </c>
      <c r="L140" s="309">
        <f>ROUND(K140/12*9,2)</f>
        <v>0</v>
      </c>
      <c r="M140" s="309">
        <f t="shared" ref="M140:M145" si="101">O140+E140</f>
        <v>4568.16</v>
      </c>
      <c r="N140" s="311" t="e">
        <f t="shared" ref="N140:N145" si="102">M140/L140</f>
        <v>#DIV/0!</v>
      </c>
      <c r="O140" s="309">
        <v>0</v>
      </c>
      <c r="P140" s="311" t="e">
        <f t="shared" ref="P140:P145" si="103">O140/L140</f>
        <v>#DIV/0!</v>
      </c>
    </row>
    <row r="141" spans="1:16" ht="25.5" x14ac:dyDescent="0.2">
      <c r="A141" s="303" t="s">
        <v>125</v>
      </c>
      <c r="B141" s="310" t="s">
        <v>126</v>
      </c>
      <c r="C141" s="308">
        <f t="shared" si="99"/>
        <v>1079.48</v>
      </c>
      <c r="D141" s="308">
        <v>376.82</v>
      </c>
      <c r="E141" s="308">
        <v>650.66</v>
      </c>
      <c r="F141" s="308">
        <v>52</v>
      </c>
      <c r="G141" s="308">
        <f t="shared" si="100"/>
        <v>1027.48</v>
      </c>
      <c r="H141" s="308">
        <v>376.82</v>
      </c>
      <c r="I141" s="308">
        <v>650.66</v>
      </c>
      <c r="J141" s="308"/>
      <c r="K141" s="309">
        <v>0</v>
      </c>
      <c r="L141" s="309">
        <f t="shared" ref="L141:L145" si="104">ROUND(K141/12*9,2)</f>
        <v>0</v>
      </c>
      <c r="M141" s="309">
        <f t="shared" si="101"/>
        <v>650.66</v>
      </c>
      <c r="N141" s="311" t="e">
        <f t="shared" si="102"/>
        <v>#DIV/0!</v>
      </c>
      <c r="O141" s="309">
        <v>0</v>
      </c>
      <c r="P141" s="311" t="e">
        <f t="shared" si="103"/>
        <v>#DIV/0!</v>
      </c>
    </row>
    <row r="142" spans="1:16" x14ac:dyDescent="0.2">
      <c r="A142" s="303" t="s">
        <v>127</v>
      </c>
      <c r="B142" s="304" t="s">
        <v>128</v>
      </c>
      <c r="C142" s="308">
        <f t="shared" si="99"/>
        <v>15118.85</v>
      </c>
      <c r="D142" s="308">
        <v>770.87</v>
      </c>
      <c r="E142" s="308">
        <v>14101.97</v>
      </c>
      <c r="F142" s="308">
        <v>246.01</v>
      </c>
      <c r="G142" s="308">
        <f t="shared" si="100"/>
        <v>0</v>
      </c>
      <c r="H142" s="308">
        <v>0</v>
      </c>
      <c r="I142" s="308">
        <v>0</v>
      </c>
      <c r="J142" s="308"/>
      <c r="K142" s="309">
        <v>176319.9</v>
      </c>
      <c r="L142" s="309">
        <f t="shared" si="104"/>
        <v>132239.93</v>
      </c>
      <c r="M142" s="309">
        <f t="shared" si="101"/>
        <v>140342.07999999999</v>
      </c>
      <c r="N142" s="311">
        <f t="shared" si="102"/>
        <v>1.0612685593526856</v>
      </c>
      <c r="O142" s="309">
        <v>126240.11</v>
      </c>
      <c r="P142" s="311">
        <f t="shared" si="103"/>
        <v>0.95462928632826716</v>
      </c>
    </row>
    <row r="143" spans="1:16" ht="25.5" x14ac:dyDescent="0.2">
      <c r="A143" s="312" t="s">
        <v>129</v>
      </c>
      <c r="B143" s="304" t="s">
        <v>130</v>
      </c>
      <c r="C143" s="308">
        <f t="shared" si="99"/>
        <v>41316.409999999996</v>
      </c>
      <c r="D143" s="308">
        <v>863.63</v>
      </c>
      <c r="E143" s="308">
        <v>40269.25</v>
      </c>
      <c r="F143" s="308">
        <v>183.53</v>
      </c>
      <c r="G143" s="308">
        <f t="shared" si="100"/>
        <v>40932.879999999997</v>
      </c>
      <c r="H143" s="308">
        <v>663.63</v>
      </c>
      <c r="I143" s="308">
        <v>40269.25</v>
      </c>
      <c r="J143" s="308"/>
      <c r="K143" s="309">
        <v>0</v>
      </c>
      <c r="L143" s="309">
        <f t="shared" si="104"/>
        <v>0</v>
      </c>
      <c r="M143" s="309">
        <f t="shared" si="101"/>
        <v>40373.769999999997</v>
      </c>
      <c r="N143" s="311" t="e">
        <f t="shared" si="102"/>
        <v>#DIV/0!</v>
      </c>
      <c r="O143" s="309">
        <v>104.52</v>
      </c>
      <c r="P143" s="311" t="e">
        <f t="shared" si="103"/>
        <v>#DIV/0!</v>
      </c>
    </row>
    <row r="144" spans="1:16" x14ac:dyDescent="0.2">
      <c r="A144" s="303" t="s">
        <v>131</v>
      </c>
      <c r="B144" s="304" t="s">
        <v>132</v>
      </c>
      <c r="C144" s="308">
        <f t="shared" si="99"/>
        <v>1186.3</v>
      </c>
      <c r="D144" s="308">
        <v>1186.3</v>
      </c>
      <c r="E144" s="308">
        <v>0</v>
      </c>
      <c r="F144" s="308">
        <v>0</v>
      </c>
      <c r="G144" s="308">
        <f t="shared" si="100"/>
        <v>1186.3</v>
      </c>
      <c r="H144" s="308">
        <v>1186.3</v>
      </c>
      <c r="I144" s="308">
        <v>0</v>
      </c>
      <c r="J144" s="308"/>
      <c r="K144" s="309">
        <v>0</v>
      </c>
      <c r="L144" s="309">
        <f t="shared" si="104"/>
        <v>0</v>
      </c>
      <c r="M144" s="309">
        <f t="shared" si="101"/>
        <v>0</v>
      </c>
      <c r="N144" s="311" t="e">
        <f t="shared" si="102"/>
        <v>#DIV/0!</v>
      </c>
      <c r="O144" s="309">
        <v>0</v>
      </c>
      <c r="P144" s="311" t="e">
        <f t="shared" si="103"/>
        <v>#DIV/0!</v>
      </c>
    </row>
    <row r="145" spans="1:16" x14ac:dyDescent="0.2">
      <c r="A145" s="303" t="s">
        <v>133</v>
      </c>
      <c r="B145" s="304" t="s">
        <v>134</v>
      </c>
      <c r="C145" s="308">
        <f t="shared" si="99"/>
        <v>9492.2900000000009</v>
      </c>
      <c r="D145" s="308">
        <v>2864.19</v>
      </c>
      <c r="E145" s="308">
        <v>3879.55</v>
      </c>
      <c r="F145" s="308">
        <v>2748.55</v>
      </c>
      <c r="G145" s="308">
        <f t="shared" si="100"/>
        <v>6743.74</v>
      </c>
      <c r="H145" s="308">
        <v>2864.19</v>
      </c>
      <c r="I145" s="308">
        <v>3879.55</v>
      </c>
      <c r="J145" s="308"/>
      <c r="K145" s="309">
        <v>4302</v>
      </c>
      <c r="L145" s="309">
        <f t="shared" si="104"/>
        <v>3226.5</v>
      </c>
      <c r="M145" s="309">
        <f t="shared" si="101"/>
        <v>6017.6100000000006</v>
      </c>
      <c r="N145" s="311">
        <f t="shared" si="102"/>
        <v>1.8650581125058114</v>
      </c>
      <c r="O145" s="309">
        <v>2138.06</v>
      </c>
      <c r="P145" s="311">
        <f t="shared" si="103"/>
        <v>0.66265612893227954</v>
      </c>
    </row>
    <row r="146" spans="1:16" s="302" customFormat="1" ht="13.15" customHeight="1" x14ac:dyDescent="0.2">
      <c r="A146" s="359" t="s">
        <v>29</v>
      </c>
      <c r="B146" s="360"/>
      <c r="C146" s="360"/>
      <c r="D146" s="360"/>
      <c r="E146" s="360"/>
      <c r="F146" s="360"/>
      <c r="G146" s="360"/>
      <c r="H146" s="360"/>
      <c r="I146" s="360"/>
      <c r="J146" s="360"/>
      <c r="K146" s="360"/>
      <c r="L146" s="360"/>
      <c r="M146" s="360"/>
      <c r="N146" s="360"/>
      <c r="O146" s="361"/>
      <c r="P146" s="301"/>
    </row>
    <row r="147" spans="1:16" x14ac:dyDescent="0.2">
      <c r="A147" s="303" t="s">
        <v>121</v>
      </c>
      <c r="B147" s="304" t="s">
        <v>122</v>
      </c>
      <c r="C147" s="305">
        <f>SUM(C149:C154)</f>
        <v>76242.489999999991</v>
      </c>
      <c r="D147" s="305">
        <f>SUM(D149:D154)</f>
        <v>8484.8700000000008</v>
      </c>
      <c r="E147" s="305">
        <f t="shared" ref="E147:O147" si="105">SUM(E149:E154)</f>
        <v>67420.87</v>
      </c>
      <c r="F147" s="305">
        <f t="shared" si="105"/>
        <v>336.75</v>
      </c>
      <c r="G147" s="305">
        <f t="shared" si="105"/>
        <v>51616.75</v>
      </c>
      <c r="H147" s="305">
        <f t="shared" si="105"/>
        <v>282.81</v>
      </c>
      <c r="I147" s="305">
        <f t="shared" si="105"/>
        <v>51333.94</v>
      </c>
      <c r="J147" s="305">
        <f t="shared" si="105"/>
        <v>0</v>
      </c>
      <c r="K147" s="305">
        <f t="shared" si="105"/>
        <v>279644.13</v>
      </c>
      <c r="L147" s="305">
        <f t="shared" si="105"/>
        <v>209733.11</v>
      </c>
      <c r="M147" s="305">
        <f t="shared" si="105"/>
        <v>278401.74</v>
      </c>
      <c r="N147" s="306">
        <f>M147/L147</f>
        <v>1.3274095825880807</v>
      </c>
      <c r="O147" s="305">
        <f t="shared" si="105"/>
        <v>210980.87</v>
      </c>
      <c r="P147" s="306">
        <f>O147/L147</f>
        <v>1.0059492752479569</v>
      </c>
    </row>
    <row r="148" spans="1:16" x14ac:dyDescent="0.2">
      <c r="A148" s="303"/>
      <c r="B148" s="307" t="s">
        <v>107</v>
      </c>
      <c r="C148" s="308"/>
      <c r="D148" s="308"/>
      <c r="E148" s="308"/>
      <c r="F148" s="308"/>
      <c r="G148" s="308"/>
      <c r="H148" s="308"/>
      <c r="I148" s="308"/>
      <c r="J148" s="308"/>
      <c r="K148" s="309"/>
      <c r="L148" s="309"/>
      <c r="M148" s="309"/>
      <c r="N148" s="309"/>
      <c r="O148" s="309"/>
      <c r="P148" s="309"/>
    </row>
    <row r="149" spans="1:16" x14ac:dyDescent="0.2">
      <c r="A149" s="303" t="s">
        <v>123</v>
      </c>
      <c r="B149" s="310" t="s">
        <v>124</v>
      </c>
      <c r="C149" s="308">
        <f t="shared" ref="C149:C154" si="106">D149+E149+F149</f>
        <v>9604.82</v>
      </c>
      <c r="D149" s="308">
        <v>0</v>
      </c>
      <c r="E149" s="308">
        <v>9604.82</v>
      </c>
      <c r="F149" s="308">
        <v>0</v>
      </c>
      <c r="G149" s="308">
        <f t="shared" ref="G149:G154" si="107">H149+I149+J149</f>
        <v>7162.97</v>
      </c>
      <c r="H149" s="308">
        <v>0</v>
      </c>
      <c r="I149" s="308">
        <v>7162.97</v>
      </c>
      <c r="J149" s="308"/>
      <c r="K149" s="309"/>
      <c r="L149" s="309">
        <f>ROUND(K149/12*9,2)</f>
        <v>0</v>
      </c>
      <c r="M149" s="309">
        <f t="shared" ref="M149:M154" si="108">O149+E149</f>
        <v>9604.82</v>
      </c>
      <c r="N149" s="311" t="e">
        <f t="shared" ref="N149:N154" si="109">M149/L149</f>
        <v>#DIV/0!</v>
      </c>
      <c r="O149" s="309">
        <v>0</v>
      </c>
      <c r="P149" s="311" t="e">
        <f t="shared" ref="P149:P154" si="110">O149/L149</f>
        <v>#DIV/0!</v>
      </c>
    </row>
    <row r="150" spans="1:16" ht="25.5" x14ac:dyDescent="0.2">
      <c r="A150" s="303" t="s">
        <v>125</v>
      </c>
      <c r="B150" s="310" t="s">
        <v>126</v>
      </c>
      <c r="C150" s="308">
        <f t="shared" si="106"/>
        <v>413.49</v>
      </c>
      <c r="D150" s="308">
        <v>0</v>
      </c>
      <c r="E150" s="308">
        <v>379.05</v>
      </c>
      <c r="F150" s="308">
        <v>34.44</v>
      </c>
      <c r="G150" s="308">
        <f t="shared" si="107"/>
        <v>242.81</v>
      </c>
      <c r="H150" s="308">
        <v>0</v>
      </c>
      <c r="I150" s="308">
        <v>242.81</v>
      </c>
      <c r="J150" s="308"/>
      <c r="K150" s="309"/>
      <c r="L150" s="309">
        <f t="shared" ref="L150:L154" si="111">ROUND(K150/12*9,2)</f>
        <v>0</v>
      </c>
      <c r="M150" s="309">
        <f t="shared" si="108"/>
        <v>379.05</v>
      </c>
      <c r="N150" s="311" t="e">
        <f t="shared" si="109"/>
        <v>#DIV/0!</v>
      </c>
      <c r="O150" s="309">
        <v>0</v>
      </c>
      <c r="P150" s="311" t="e">
        <f t="shared" si="110"/>
        <v>#DIV/0!</v>
      </c>
    </row>
    <row r="151" spans="1:16" x14ac:dyDescent="0.2">
      <c r="A151" s="303" t="s">
        <v>127</v>
      </c>
      <c r="B151" s="304" t="s">
        <v>128</v>
      </c>
      <c r="C151" s="308">
        <f t="shared" si="106"/>
        <v>14788.4</v>
      </c>
      <c r="D151" s="308">
        <v>5095.3500000000004</v>
      </c>
      <c r="E151" s="308">
        <v>9562.7999999999993</v>
      </c>
      <c r="F151" s="308">
        <v>130.25</v>
      </c>
      <c r="G151" s="308">
        <f t="shared" si="107"/>
        <v>0</v>
      </c>
      <c r="H151" s="308">
        <v>0</v>
      </c>
      <c r="I151" s="308">
        <v>0</v>
      </c>
      <c r="J151" s="308"/>
      <c r="K151" s="309">
        <v>268022.73</v>
      </c>
      <c r="L151" s="309">
        <f t="shared" si="111"/>
        <v>201017.05</v>
      </c>
      <c r="M151" s="309">
        <f t="shared" si="108"/>
        <v>211895.36</v>
      </c>
      <c r="N151" s="311">
        <f t="shared" si="109"/>
        <v>1.0541163548067192</v>
      </c>
      <c r="O151" s="309">
        <v>202332.56</v>
      </c>
      <c r="P151" s="311">
        <f t="shared" si="110"/>
        <v>1.006544270747183</v>
      </c>
    </row>
    <row r="152" spans="1:16" ht="25.5" x14ac:dyDescent="0.2">
      <c r="A152" s="312" t="s">
        <v>129</v>
      </c>
      <c r="B152" s="304" t="s">
        <v>130</v>
      </c>
      <c r="C152" s="308">
        <f t="shared" si="106"/>
        <v>48703.839999999997</v>
      </c>
      <c r="D152" s="308">
        <v>2589.52</v>
      </c>
      <c r="E152" s="308">
        <v>46085.13</v>
      </c>
      <c r="F152" s="308">
        <v>29.19</v>
      </c>
      <c r="G152" s="308">
        <f t="shared" si="107"/>
        <v>42191.19</v>
      </c>
      <c r="H152" s="308">
        <v>0</v>
      </c>
      <c r="I152" s="308">
        <v>42191.19</v>
      </c>
      <c r="J152" s="308"/>
      <c r="K152" s="309">
        <v>2785.9</v>
      </c>
      <c r="L152" s="309">
        <f t="shared" si="111"/>
        <v>2089.4299999999998</v>
      </c>
      <c r="M152" s="309">
        <f t="shared" si="108"/>
        <v>51934.53</v>
      </c>
      <c r="N152" s="311">
        <f t="shared" si="109"/>
        <v>24.855836280708136</v>
      </c>
      <c r="O152" s="309">
        <v>5849.4</v>
      </c>
      <c r="P152" s="311">
        <f t="shared" si="110"/>
        <v>2.7995194861756558</v>
      </c>
    </row>
    <row r="153" spans="1:16" x14ac:dyDescent="0.2">
      <c r="A153" s="303" t="s">
        <v>131</v>
      </c>
      <c r="B153" s="304" t="s">
        <v>132</v>
      </c>
      <c r="C153" s="308">
        <f t="shared" si="106"/>
        <v>0</v>
      </c>
      <c r="D153" s="308">
        <v>0</v>
      </c>
      <c r="E153" s="308">
        <v>0</v>
      </c>
      <c r="F153" s="308">
        <v>0</v>
      </c>
      <c r="G153" s="308">
        <f t="shared" si="107"/>
        <v>0</v>
      </c>
      <c r="H153" s="308">
        <v>0</v>
      </c>
      <c r="I153" s="308">
        <v>0</v>
      </c>
      <c r="J153" s="308"/>
      <c r="K153" s="309"/>
      <c r="L153" s="309">
        <f t="shared" si="111"/>
        <v>0</v>
      </c>
      <c r="M153" s="309">
        <f t="shared" si="108"/>
        <v>0</v>
      </c>
      <c r="N153" s="311" t="e">
        <f t="shared" si="109"/>
        <v>#DIV/0!</v>
      </c>
      <c r="O153" s="309">
        <v>0</v>
      </c>
      <c r="P153" s="311" t="e">
        <f t="shared" si="110"/>
        <v>#DIV/0!</v>
      </c>
    </row>
    <row r="154" spans="1:16" x14ac:dyDescent="0.2">
      <c r="A154" s="303" t="s">
        <v>133</v>
      </c>
      <c r="B154" s="304" t="s">
        <v>134</v>
      </c>
      <c r="C154" s="308">
        <f t="shared" si="106"/>
        <v>2731.9399999999996</v>
      </c>
      <c r="D154" s="308">
        <v>800</v>
      </c>
      <c r="E154" s="308">
        <v>1789.07</v>
      </c>
      <c r="F154" s="308">
        <v>142.87</v>
      </c>
      <c r="G154" s="308">
        <f t="shared" si="107"/>
        <v>2019.78</v>
      </c>
      <c r="H154" s="308">
        <v>282.81</v>
      </c>
      <c r="I154" s="308">
        <v>1736.97</v>
      </c>
      <c r="J154" s="308"/>
      <c r="K154" s="309">
        <v>8835.5</v>
      </c>
      <c r="L154" s="309">
        <f t="shared" si="111"/>
        <v>6626.63</v>
      </c>
      <c r="M154" s="309">
        <f t="shared" si="108"/>
        <v>4587.9799999999996</v>
      </c>
      <c r="N154" s="311">
        <f t="shared" si="109"/>
        <v>0.69235493757762234</v>
      </c>
      <c r="O154" s="309">
        <v>2798.91</v>
      </c>
      <c r="P154" s="311">
        <f t="shared" si="110"/>
        <v>0.42237306142035996</v>
      </c>
    </row>
    <row r="155" spans="1:16" s="302" customFormat="1" ht="13.15" customHeight="1" x14ac:dyDescent="0.2">
      <c r="A155" s="359" t="s">
        <v>138</v>
      </c>
      <c r="B155" s="360"/>
      <c r="C155" s="360"/>
      <c r="D155" s="360"/>
      <c r="E155" s="360"/>
      <c r="F155" s="360"/>
      <c r="G155" s="360"/>
      <c r="H155" s="360"/>
      <c r="I155" s="360"/>
      <c r="J155" s="360"/>
      <c r="K155" s="360"/>
      <c r="L155" s="360"/>
      <c r="M155" s="360"/>
      <c r="N155" s="360"/>
      <c r="O155" s="361"/>
      <c r="P155" s="301"/>
    </row>
    <row r="156" spans="1:16" x14ac:dyDescent="0.2">
      <c r="A156" s="303" t="s">
        <v>121</v>
      </c>
      <c r="B156" s="304" t="s">
        <v>122</v>
      </c>
      <c r="C156" s="305">
        <f>C12+C21+C30+C39+C48+C57+C66+C75+C84+C93+C102+C111+C120+C129+C138+C147</f>
        <v>1077238.1000000001</v>
      </c>
      <c r="D156" s="305">
        <f t="shared" ref="D156:O156" si="112">D12+D21+D30+D39+D48+D57+D66+D75+D84+D93+D102+D111+D120+D129+D138+D147</f>
        <v>127401.38999999997</v>
      </c>
      <c r="E156" s="305">
        <f t="shared" si="112"/>
        <v>904562.59999999986</v>
      </c>
      <c r="F156" s="305">
        <f t="shared" si="112"/>
        <v>45274.11</v>
      </c>
      <c r="G156" s="305">
        <f t="shared" si="112"/>
        <v>683473.7</v>
      </c>
      <c r="H156" s="305">
        <f t="shared" si="112"/>
        <v>48183</v>
      </c>
      <c r="I156" s="305">
        <f t="shared" si="112"/>
        <v>614243.1100000001</v>
      </c>
      <c r="J156" s="305">
        <f t="shared" si="112"/>
        <v>21047.589999999997</v>
      </c>
      <c r="K156" s="305">
        <f t="shared" si="112"/>
        <v>4867567.1100000003</v>
      </c>
      <c r="L156" s="305">
        <f t="shared" si="112"/>
        <v>3650675.4199999995</v>
      </c>
      <c r="M156" s="305">
        <f t="shared" si="112"/>
        <v>4495962.5999999996</v>
      </c>
      <c r="N156" s="306">
        <f>M156/L156</f>
        <v>1.2315426825866651</v>
      </c>
      <c r="O156" s="305">
        <f t="shared" si="112"/>
        <v>3591400</v>
      </c>
      <c r="P156" s="306">
        <f>O156/L156</f>
        <v>0.98376316347510306</v>
      </c>
    </row>
    <row r="157" spans="1:16" x14ac:dyDescent="0.2">
      <c r="A157" s="303"/>
      <c r="B157" s="307" t="s">
        <v>107</v>
      </c>
      <c r="C157" s="308"/>
      <c r="D157" s="308"/>
      <c r="E157" s="308"/>
      <c r="F157" s="308"/>
      <c r="G157" s="308"/>
      <c r="H157" s="308"/>
      <c r="I157" s="308"/>
      <c r="J157" s="308"/>
      <c r="K157" s="308"/>
      <c r="L157" s="308"/>
      <c r="M157" s="308"/>
      <c r="N157" s="309"/>
      <c r="O157" s="308"/>
      <c r="P157" s="309"/>
    </row>
    <row r="158" spans="1:16" x14ac:dyDescent="0.2">
      <c r="A158" s="303" t="s">
        <v>123</v>
      </c>
      <c r="B158" s="310" t="s">
        <v>124</v>
      </c>
      <c r="C158" s="308">
        <f t="shared" ref="C158:O163" si="113">C14+C23+C32+C41+C50+C59+C68+C77+C86+C95+C104+C113+C122+C131+C140+C149</f>
        <v>51977.57</v>
      </c>
      <c r="D158" s="308">
        <f t="shared" si="113"/>
        <v>2427.58</v>
      </c>
      <c r="E158" s="308">
        <f t="shared" si="113"/>
        <v>49514.12</v>
      </c>
      <c r="F158" s="308">
        <f t="shared" si="113"/>
        <v>35.870000000000005</v>
      </c>
      <c r="G158" s="308">
        <f t="shared" si="113"/>
        <v>37155.360000000001</v>
      </c>
      <c r="H158" s="308">
        <f t="shared" si="113"/>
        <v>1090.33</v>
      </c>
      <c r="I158" s="308">
        <f t="shared" si="113"/>
        <v>36065.03</v>
      </c>
      <c r="J158" s="308">
        <f t="shared" si="113"/>
        <v>0</v>
      </c>
      <c r="K158" s="308">
        <f t="shared" si="113"/>
        <v>61853.599999999991</v>
      </c>
      <c r="L158" s="308">
        <f t="shared" si="113"/>
        <v>46390.21</v>
      </c>
      <c r="M158" s="308">
        <f t="shared" si="113"/>
        <v>89207.959999999992</v>
      </c>
      <c r="N158" s="311">
        <f t="shared" ref="N158:N163" si="114">M158/L158</f>
        <v>1.9229910793678233</v>
      </c>
      <c r="O158" s="308">
        <f t="shared" si="113"/>
        <v>39693.840000000011</v>
      </c>
      <c r="P158" s="311">
        <f t="shared" ref="P158:P163" si="115">O158/L158</f>
        <v>0.85565122468727806</v>
      </c>
    </row>
    <row r="159" spans="1:16" ht="25.5" x14ac:dyDescent="0.2">
      <c r="A159" s="303" t="s">
        <v>125</v>
      </c>
      <c r="B159" s="310" t="s">
        <v>126</v>
      </c>
      <c r="C159" s="308">
        <f t="shared" si="113"/>
        <v>15080.169999999998</v>
      </c>
      <c r="D159" s="308">
        <f t="shared" si="113"/>
        <v>3113.4199999999996</v>
      </c>
      <c r="E159" s="308">
        <f t="shared" si="113"/>
        <v>9598.3999999999978</v>
      </c>
      <c r="F159" s="308">
        <f t="shared" si="113"/>
        <v>2368.3499999999995</v>
      </c>
      <c r="G159" s="308">
        <f t="shared" si="113"/>
        <v>7255.5700000000006</v>
      </c>
      <c r="H159" s="308">
        <f t="shared" si="113"/>
        <v>2436.0600000000004</v>
      </c>
      <c r="I159" s="308">
        <f t="shared" si="113"/>
        <v>4819.51</v>
      </c>
      <c r="J159" s="308">
        <f t="shared" si="113"/>
        <v>0</v>
      </c>
      <c r="K159" s="308">
        <f t="shared" si="113"/>
        <v>27177.15</v>
      </c>
      <c r="L159" s="308">
        <f t="shared" si="113"/>
        <v>20382.86</v>
      </c>
      <c r="M159" s="308">
        <f t="shared" si="113"/>
        <v>28985.619999999995</v>
      </c>
      <c r="N159" s="311">
        <f t="shared" si="114"/>
        <v>1.4220585334933369</v>
      </c>
      <c r="O159" s="308">
        <f t="shared" si="113"/>
        <v>19387.22</v>
      </c>
      <c r="P159" s="311">
        <f t="shared" si="115"/>
        <v>0.95115307665361981</v>
      </c>
    </row>
    <row r="160" spans="1:16" x14ac:dyDescent="0.2">
      <c r="A160" s="303" t="s">
        <v>127</v>
      </c>
      <c r="B160" s="304" t="s">
        <v>128</v>
      </c>
      <c r="C160" s="308">
        <f t="shared" si="113"/>
        <v>206180.16999999998</v>
      </c>
      <c r="D160" s="308">
        <f t="shared" si="113"/>
        <v>47061.649999999994</v>
      </c>
      <c r="E160" s="308">
        <f t="shared" si="113"/>
        <v>152000.08999999997</v>
      </c>
      <c r="F160" s="308">
        <f t="shared" si="113"/>
        <v>7118.43</v>
      </c>
      <c r="G160" s="308">
        <f t="shared" si="113"/>
        <v>88.95</v>
      </c>
      <c r="H160" s="308">
        <f t="shared" si="113"/>
        <v>0</v>
      </c>
      <c r="I160" s="308">
        <f t="shared" si="113"/>
        <v>0</v>
      </c>
      <c r="J160" s="308">
        <f t="shared" si="113"/>
        <v>88.95</v>
      </c>
      <c r="K160" s="308">
        <f t="shared" si="113"/>
        <v>3635446.6599999997</v>
      </c>
      <c r="L160" s="308">
        <f t="shared" si="113"/>
        <v>2726585.02</v>
      </c>
      <c r="M160" s="308">
        <f t="shared" si="113"/>
        <v>2860131.9499999997</v>
      </c>
      <c r="N160" s="311">
        <f t="shared" si="114"/>
        <v>1.0489795583194395</v>
      </c>
      <c r="O160" s="308">
        <f t="shared" si="113"/>
        <v>2708131.86</v>
      </c>
      <c r="P160" s="311">
        <f t="shared" si="115"/>
        <v>0.99323213475294447</v>
      </c>
    </row>
    <row r="161" spans="1:17" ht="25.5" x14ac:dyDescent="0.2">
      <c r="A161" s="312" t="s">
        <v>129</v>
      </c>
      <c r="B161" s="304" t="s">
        <v>130</v>
      </c>
      <c r="C161" s="308">
        <f t="shared" si="113"/>
        <v>568646.89</v>
      </c>
      <c r="D161" s="308">
        <f t="shared" si="113"/>
        <v>49608.489999999991</v>
      </c>
      <c r="E161" s="308">
        <f t="shared" si="113"/>
        <v>495252.84999999992</v>
      </c>
      <c r="F161" s="308">
        <f t="shared" si="113"/>
        <v>23785.549999999996</v>
      </c>
      <c r="G161" s="308">
        <f t="shared" si="113"/>
        <v>489942.80000000005</v>
      </c>
      <c r="H161" s="308">
        <f t="shared" si="113"/>
        <v>31989.84</v>
      </c>
      <c r="I161" s="308">
        <f t="shared" si="113"/>
        <v>437036.42</v>
      </c>
      <c r="J161" s="308">
        <f t="shared" si="113"/>
        <v>20916.54</v>
      </c>
      <c r="K161" s="308">
        <f t="shared" si="113"/>
        <v>556253.03</v>
      </c>
      <c r="L161" s="308">
        <f t="shared" si="113"/>
        <v>417189.79</v>
      </c>
      <c r="M161" s="308">
        <f t="shared" si="113"/>
        <v>1013353.8500000001</v>
      </c>
      <c r="N161" s="311">
        <f t="shared" si="114"/>
        <v>2.4289996406671412</v>
      </c>
      <c r="O161" s="308">
        <f t="shared" si="113"/>
        <v>518101.00000000012</v>
      </c>
      <c r="P161" s="311">
        <f t="shared" si="115"/>
        <v>1.24188322058409</v>
      </c>
    </row>
    <row r="162" spans="1:17" x14ac:dyDescent="0.2">
      <c r="A162" s="303" t="s">
        <v>131</v>
      </c>
      <c r="B162" s="304" t="s">
        <v>132</v>
      </c>
      <c r="C162" s="308">
        <f t="shared" si="113"/>
        <v>12943.339999999998</v>
      </c>
      <c r="D162" s="308">
        <f t="shared" si="113"/>
        <v>1584.1100000000001</v>
      </c>
      <c r="E162" s="308">
        <f t="shared" si="113"/>
        <v>9645.25</v>
      </c>
      <c r="F162" s="308">
        <f t="shared" si="113"/>
        <v>1713.98</v>
      </c>
      <c r="G162" s="308">
        <f t="shared" si="113"/>
        <v>9141.51</v>
      </c>
      <c r="H162" s="308">
        <f t="shared" si="113"/>
        <v>1559.37</v>
      </c>
      <c r="I162" s="308">
        <f t="shared" si="113"/>
        <v>7582.14</v>
      </c>
      <c r="J162" s="308">
        <f t="shared" si="113"/>
        <v>0</v>
      </c>
      <c r="K162" s="308">
        <f t="shared" si="113"/>
        <v>6010</v>
      </c>
      <c r="L162" s="308">
        <f t="shared" si="113"/>
        <v>4507.5</v>
      </c>
      <c r="M162" s="308">
        <f t="shared" si="113"/>
        <v>29154.209999999995</v>
      </c>
      <c r="N162" s="311">
        <f t="shared" si="114"/>
        <v>6.4679334442595664</v>
      </c>
      <c r="O162" s="308">
        <f t="shared" si="113"/>
        <v>19508.960000000003</v>
      </c>
      <c r="P162" s="311">
        <f t="shared" si="115"/>
        <v>4.3281109262340554</v>
      </c>
    </row>
    <row r="163" spans="1:17" x14ac:dyDescent="0.2">
      <c r="A163" s="303" t="s">
        <v>133</v>
      </c>
      <c r="B163" s="304" t="s">
        <v>134</v>
      </c>
      <c r="C163" s="308">
        <f t="shared" si="113"/>
        <v>222409.95999999996</v>
      </c>
      <c r="D163" s="308">
        <f t="shared" si="113"/>
        <v>23606.139999999996</v>
      </c>
      <c r="E163" s="308">
        <f t="shared" si="113"/>
        <v>188551.89</v>
      </c>
      <c r="F163" s="308">
        <f t="shared" si="113"/>
        <v>10251.93</v>
      </c>
      <c r="G163" s="308">
        <f t="shared" si="113"/>
        <v>139889.51</v>
      </c>
      <c r="H163" s="308">
        <f t="shared" si="113"/>
        <v>11107.4</v>
      </c>
      <c r="I163" s="308">
        <f t="shared" si="113"/>
        <v>128740.01000000001</v>
      </c>
      <c r="J163" s="308">
        <f t="shared" si="113"/>
        <v>42.1</v>
      </c>
      <c r="K163" s="308">
        <f t="shared" si="113"/>
        <v>580826.66999999969</v>
      </c>
      <c r="L163" s="308">
        <f t="shared" si="113"/>
        <v>435620.04</v>
      </c>
      <c r="M163" s="308">
        <f t="shared" si="113"/>
        <v>475129.00999999989</v>
      </c>
      <c r="N163" s="311">
        <f t="shared" si="114"/>
        <v>1.0906959422711588</v>
      </c>
      <c r="O163" s="308">
        <f t="shared" si="113"/>
        <v>286577.12</v>
      </c>
      <c r="P163" s="311">
        <f t="shared" si="115"/>
        <v>0.65786027658415347</v>
      </c>
      <c r="Q163" s="313"/>
    </row>
    <row r="165" spans="1:17" ht="15" x14ac:dyDescent="0.2">
      <c r="B165" s="314" t="s">
        <v>139</v>
      </c>
    </row>
  </sheetData>
  <autoFilter ref="A9:J9">
    <filterColumn colId="1" showButton="0"/>
    <filterColumn colId="2" showButton="0"/>
  </autoFilter>
  <mergeCells count="36">
    <mergeCell ref="A2:O2"/>
    <mergeCell ref="A4:O4"/>
    <mergeCell ref="A5:O5"/>
    <mergeCell ref="A7:A9"/>
    <mergeCell ref="B7:B9"/>
    <mergeCell ref="C7:C9"/>
    <mergeCell ref="D7:J7"/>
    <mergeCell ref="K7:P7"/>
    <mergeCell ref="D8:D9"/>
    <mergeCell ref="E8:E9"/>
    <mergeCell ref="P8:P9"/>
    <mergeCell ref="A11:O11"/>
    <mergeCell ref="A20:O20"/>
    <mergeCell ref="A29:O29"/>
    <mergeCell ref="A38:O38"/>
    <mergeCell ref="F8:F9"/>
    <mergeCell ref="G8:J8"/>
    <mergeCell ref="K8:K9"/>
    <mergeCell ref="L8:L9"/>
    <mergeCell ref="M8:M9"/>
    <mergeCell ref="N8:N9"/>
    <mergeCell ref="A155:O155"/>
    <mergeCell ref="A3:O3"/>
    <mergeCell ref="A101:O101"/>
    <mergeCell ref="A110:O110"/>
    <mergeCell ref="A119:O119"/>
    <mergeCell ref="A128:O128"/>
    <mergeCell ref="A137:O137"/>
    <mergeCell ref="A146:O146"/>
    <mergeCell ref="A47:O47"/>
    <mergeCell ref="A56:O56"/>
    <mergeCell ref="A65:O65"/>
    <mergeCell ref="A74:O74"/>
    <mergeCell ref="A83:O83"/>
    <mergeCell ref="A92:O92"/>
    <mergeCell ref="O8:O9"/>
  </mergeCells>
  <pageMargins left="0.7" right="0.7" top="0.75" bottom="0.75" header="0.3" footer="0.3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ИСПОЛНЕНИЕ ТПОМС</vt:lpstr>
      <vt:lpstr>СВОД-ИСПОЛНЕНИЕ МО</vt:lpstr>
      <vt:lpstr>СМП</vt:lpstr>
      <vt:lpstr>ДС</vt:lpstr>
      <vt:lpstr>КС</vt:lpstr>
      <vt:lpstr>АМП</vt:lpstr>
      <vt:lpstr>АНАЛИЗ ФИН.УСТОЙЧИВОСТИ</vt:lpstr>
      <vt:lpstr>АМП!Заголовки_для_печати</vt:lpstr>
      <vt:lpstr>'АНАЛИЗ ФИН.УСТОЙЧИВОСТИ'!Заголовки_для_печати</vt:lpstr>
      <vt:lpstr>ДС!Заголовки_для_печати</vt:lpstr>
      <vt:lpstr>КС!Заголовки_для_печати</vt:lpstr>
      <vt:lpstr>'СВОД-ИСПОЛНЕНИЕ МО'!Заголовки_для_печати</vt:lpstr>
      <vt:lpstr>СМП!Заголовки_для_печати</vt:lpstr>
      <vt:lpstr>АМП!Область_печати</vt:lpstr>
      <vt:lpstr>'АНАЛИЗ ФИН.УСТОЙЧИВОСТИ'!Область_печати</vt:lpstr>
      <vt:lpstr>ДС!Область_печати</vt:lpstr>
      <vt:lpstr>'ИСПОЛНЕНИЕ ТПОМС'!Область_печати</vt:lpstr>
      <vt:lpstr>КС!Область_печати</vt:lpstr>
      <vt:lpstr>'СВОД-ИСПОЛНЕНИЕ МО'!Область_печати</vt:lpstr>
      <vt:lpstr>СМП!Область_печати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cp:lastPrinted>2020-10-29T23:45:45Z</cp:lastPrinted>
  <dcterms:created xsi:type="dcterms:W3CDTF">2020-10-29T09:32:44Z</dcterms:created>
  <dcterms:modified xsi:type="dcterms:W3CDTF">2020-10-29T23:49:05Z</dcterms:modified>
</cp:coreProperties>
</file>