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34410" windowHeight="10635" tabRatio="950" firstSheet="1" activeTab="1"/>
  </bookViews>
  <sheets>
    <sheet name="СВОД" sheetId="7" state="hidden" r:id="rId1"/>
    <sheet name="МОБ" sheetId="4" r:id="rId2"/>
    <sheet name="МОЦОМиД" sheetId="5" r:id="rId3"/>
    <sheet name="Городская поликлиника" sheetId="6" r:id="rId4"/>
    <sheet name="Прил_2_Ранжирование" sheetId="8" r:id="rId5"/>
    <sheet name="Прил_3_Доп. критерии" sheetId="13" r:id="rId6"/>
    <sheet name="ПР_4 ОБЪЕМ СРЕДСТВ (Основной)" sheetId="9" r:id="rId7"/>
    <sheet name="ПР_4 ОБЪЕМ СРЕДСТВ (АМП)" sheetId="14" r:id="rId8"/>
    <sheet name="ПР_4 ОБЪЕМ СРЕДСТВ (СТОМАТ)" sheetId="15" r:id="rId9"/>
    <sheet name="Пр_5_СВОД СТИМУЛ ВЫПЛАТ" sheetId="12" r:id="rId10"/>
    <sheet name="шаблон" sheetId="3" state="hidden" r:id="rId11"/>
  </sheets>
  <externalReferences>
    <externalReference r:id="rId12"/>
  </externalReferences>
  <definedNames>
    <definedName name="_xlnm._FilterDatabase" localSheetId="3" hidden="1">'Городская поликлиника'!$A$13:$R$55</definedName>
    <definedName name="_xlnm._FilterDatabase" localSheetId="1" hidden="1">МОБ!$A$13:$R$55</definedName>
    <definedName name="_xlnm._FilterDatabase" localSheetId="2" hidden="1">МОЦОМиД!$A$13:$R$55</definedName>
    <definedName name="_xlnm._FilterDatabase" localSheetId="0" hidden="1">СВОД!$A$8:$R$50</definedName>
    <definedName name="_xlnm._FilterDatabase" localSheetId="10" hidden="1">шаблон!$A$8:$R$50</definedName>
    <definedName name="_xlnm.Print_Titles" localSheetId="3">'Городская поликлиника'!$7:$13</definedName>
    <definedName name="_xlnm.Print_Titles" localSheetId="1">МОБ!$7:$13</definedName>
    <definedName name="_xlnm.Print_Titles" localSheetId="2">МОЦОМиД!$7:$13</definedName>
    <definedName name="_xlnm.Print_Titles" localSheetId="0">СВОД!$2:$8</definedName>
    <definedName name="_xlnm.Print_Titles" localSheetId="10">шаблон!$2:$8</definedName>
    <definedName name="_xlnm.Print_Area" localSheetId="3">'Городская поликлиника'!$A$1:$R$52</definedName>
    <definedName name="_xlnm.Print_Area" localSheetId="1">МОБ!$A$1:$R$52</definedName>
    <definedName name="_xlnm.Print_Area" localSheetId="2">МОЦОМиД!$A$1:$R$52</definedName>
    <definedName name="_xlnm.Print_Area" localSheetId="7">'ПР_4 ОБЪЕМ СРЕДСТВ (АМП)'!$A$1:$F$74</definedName>
    <definedName name="_xlnm.Print_Area" localSheetId="6">'ПР_4 ОБЪЕМ СРЕДСТВ (Основной)'!$A$1:$F$95</definedName>
    <definedName name="_xlnm.Print_Area" localSheetId="8">'ПР_4 ОБЪЕМ СРЕДСТВ (СТОМАТ)'!$A$1:$F$74</definedName>
    <definedName name="_xlnm.Print_Area" localSheetId="9">'Пр_5_СВОД СТИМУЛ ВЫПЛАТ'!$A$1:$I$22</definedName>
    <definedName name="_xlnm.Print_Area" localSheetId="4">Прил_2_Ранжирование!$A$1:$D$33</definedName>
    <definedName name="_xlnm.Print_Area" localSheetId="5">'Прил_3_Доп. критерии'!$A$1:$K$21</definedName>
    <definedName name="_xlnm.Print_Area" localSheetId="0">СВОД!$A$1:$R$47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7" i="4" l="1"/>
  <c r="R60" i="4" s="1"/>
  <c r="Q57" i="4"/>
  <c r="Q60" i="4" s="1"/>
  <c r="P57" i="4"/>
  <c r="P60" i="4" s="1"/>
  <c r="O57" i="4"/>
  <c r="O60" i="4" s="1"/>
  <c r="N57" i="4"/>
  <c r="N60" i="4" s="1"/>
  <c r="M57" i="4"/>
  <c r="M60" i="4" s="1"/>
  <c r="L57" i="4"/>
  <c r="L60" i="4" s="1"/>
  <c r="K57" i="4"/>
  <c r="K60" i="4" s="1"/>
  <c r="J57" i="4"/>
  <c r="J60" i="4" s="1"/>
  <c r="I57" i="4"/>
  <c r="I60" i="4" s="1"/>
  <c r="H57" i="4"/>
  <c r="H60" i="4" s="1"/>
  <c r="G57" i="4"/>
  <c r="G60" i="4" s="1"/>
  <c r="F57" i="4"/>
  <c r="F60" i="4" s="1"/>
  <c r="E57" i="4"/>
  <c r="E60" i="4" s="1"/>
  <c r="D57" i="4"/>
  <c r="D60" i="4" s="1"/>
  <c r="C57" i="4"/>
  <c r="C60" i="4" s="1"/>
  <c r="D60" i="5" l="1"/>
  <c r="E60" i="5"/>
  <c r="F60" i="5"/>
  <c r="G60" i="5"/>
  <c r="H60" i="5"/>
  <c r="I60" i="5"/>
  <c r="K60" i="5"/>
  <c r="L60" i="5"/>
  <c r="M60" i="5"/>
  <c r="N60" i="5"/>
  <c r="O60" i="5"/>
  <c r="P60" i="5"/>
  <c r="Q60" i="5"/>
  <c r="R60" i="5"/>
  <c r="C60" i="5"/>
  <c r="D57" i="5"/>
  <c r="E57" i="5"/>
  <c r="F57" i="5"/>
  <c r="G57" i="5"/>
  <c r="H57" i="5"/>
  <c r="I57" i="5"/>
  <c r="J57" i="5"/>
  <c r="J60" i="5" s="1"/>
  <c r="K57" i="5"/>
  <c r="L57" i="5"/>
  <c r="M57" i="5"/>
  <c r="N57" i="5"/>
  <c r="O57" i="5"/>
  <c r="P57" i="5"/>
  <c r="Q57" i="5"/>
  <c r="R57" i="5"/>
  <c r="C57" i="5"/>
  <c r="D43" i="6" l="1"/>
  <c r="C43" i="6"/>
  <c r="E90" i="9" l="1"/>
  <c r="E80" i="9"/>
  <c r="E64" i="9"/>
  <c r="E53" i="15" l="1"/>
  <c r="E74" i="15" s="1"/>
  <c r="E70" i="15" s="1"/>
  <c r="E53" i="14"/>
  <c r="E74" i="14" s="1"/>
  <c r="E70" i="14" s="1"/>
  <c r="E72" i="15"/>
  <c r="E50" i="15"/>
  <c r="E72" i="14"/>
  <c r="E92" i="9" l="1"/>
  <c r="E82" i="9"/>
  <c r="E61" i="9"/>
  <c r="I15" i="12"/>
  <c r="I14" i="12"/>
  <c r="I16" i="12"/>
  <c r="I21" i="12"/>
  <c r="I22" i="12" s="1"/>
  <c r="G20" i="12"/>
  <c r="G22" i="12" s="1"/>
  <c r="U72" i="14"/>
  <c r="F11" i="12"/>
  <c r="F9" i="12"/>
  <c r="B19" i="12"/>
  <c r="H20" i="12"/>
  <c r="H19" i="12"/>
  <c r="F21" i="12"/>
  <c r="F19" i="12"/>
  <c r="F17" i="12"/>
  <c r="F16" i="12"/>
  <c r="F15" i="12"/>
  <c r="F14" i="12"/>
  <c r="T72" i="14"/>
  <c r="G16" i="12"/>
  <c r="G15" i="12"/>
  <c r="G14" i="12"/>
  <c r="T22" i="14"/>
  <c r="U22" i="14" s="1"/>
  <c r="U38" i="14"/>
  <c r="T38" i="14"/>
  <c r="T30" i="14"/>
  <c r="U30" i="14" s="1"/>
  <c r="I14" i="14"/>
  <c r="J14" i="14"/>
  <c r="K14" i="14"/>
  <c r="L14" i="14"/>
  <c r="M14" i="14"/>
  <c r="N14" i="14"/>
  <c r="O14" i="14"/>
  <c r="P14" i="14"/>
  <c r="Q14" i="14"/>
  <c r="R14" i="14"/>
  <c r="S14" i="14"/>
  <c r="H14" i="14"/>
  <c r="D19" i="12"/>
  <c r="K16" i="13" l="1"/>
  <c r="T21" i="9" l="1"/>
  <c r="U21" i="9" s="1"/>
  <c r="H14" i="13" l="1"/>
  <c r="G17" i="13" l="1"/>
  <c r="G16" i="13"/>
  <c r="G14" i="13"/>
  <c r="E41" i="6" l="1"/>
  <c r="H41" i="6" s="1"/>
  <c r="P40" i="6"/>
  <c r="G40" i="6"/>
  <c r="E40" i="6"/>
  <c r="P39" i="6"/>
  <c r="E39" i="6"/>
  <c r="G39" i="6" s="1"/>
  <c r="E38" i="6"/>
  <c r="H38" i="6" s="1"/>
  <c r="P37" i="6"/>
  <c r="G37" i="6"/>
  <c r="E37" i="6"/>
  <c r="H24" i="5"/>
  <c r="H25" i="5"/>
  <c r="H23" i="5"/>
  <c r="E41" i="5"/>
  <c r="H41" i="5" s="1"/>
  <c r="P40" i="5"/>
  <c r="E40" i="5"/>
  <c r="G40" i="5" s="1"/>
  <c r="P39" i="5"/>
  <c r="E39" i="5"/>
  <c r="G39" i="5" s="1"/>
  <c r="E38" i="5"/>
  <c r="H38" i="5" s="1"/>
  <c r="P37" i="5"/>
  <c r="E37" i="5"/>
  <c r="G37" i="5" s="1"/>
  <c r="E35" i="5"/>
  <c r="H35" i="5" s="1"/>
  <c r="H34" i="5"/>
  <c r="E34" i="5"/>
  <c r="E33" i="5"/>
  <c r="H33" i="5" s="1"/>
  <c r="H32" i="5"/>
  <c r="E32" i="5"/>
  <c r="E31" i="5"/>
  <c r="H31" i="5" s="1"/>
  <c r="H30" i="5"/>
  <c r="E30" i="5"/>
  <c r="E43" i="4"/>
  <c r="H43" i="4" s="1"/>
  <c r="D43" i="4"/>
  <c r="C43" i="4"/>
  <c r="E41" i="4"/>
  <c r="H41" i="4" s="1"/>
  <c r="P40" i="4"/>
  <c r="E40" i="4"/>
  <c r="G40" i="4" s="1"/>
  <c r="P39" i="4"/>
  <c r="E39" i="4"/>
  <c r="G39" i="4" s="1"/>
  <c r="E38" i="4"/>
  <c r="H38" i="4" s="1"/>
  <c r="P37" i="4"/>
  <c r="E37" i="4"/>
  <c r="G37" i="4" s="1"/>
  <c r="E35" i="4"/>
  <c r="H35" i="4" s="1"/>
  <c r="E34" i="4"/>
  <c r="H34" i="4" s="1"/>
  <c r="E33" i="4"/>
  <c r="H33" i="4" s="1"/>
  <c r="H32" i="4"/>
  <c r="E32" i="4"/>
  <c r="E31" i="4"/>
  <c r="H31" i="4" s="1"/>
  <c r="E30" i="4"/>
  <c r="H30" i="4" s="1"/>
  <c r="E28" i="4"/>
  <c r="G28" i="4" s="1"/>
  <c r="E27" i="4"/>
  <c r="G27" i="4" s="1"/>
  <c r="G26" i="4"/>
  <c r="E26" i="4"/>
  <c r="E25" i="4"/>
  <c r="H25" i="4" s="1"/>
  <c r="E24" i="4"/>
  <c r="H24" i="4" s="1"/>
  <c r="E23" i="4"/>
  <c r="H23" i="4" s="1"/>
  <c r="G22" i="4"/>
  <c r="E22" i="4"/>
  <c r="E21" i="4"/>
  <c r="G21" i="4" s="1"/>
  <c r="E20" i="4"/>
  <c r="H20" i="4" s="1"/>
  <c r="E19" i="4"/>
  <c r="G19" i="4" s="1"/>
  <c r="G18" i="4"/>
  <c r="E18" i="4"/>
  <c r="E17" i="4"/>
  <c r="G17" i="4" s="1"/>
  <c r="E16" i="4"/>
  <c r="G16" i="4" s="1"/>
  <c r="D15" i="4"/>
  <c r="E15" i="4" s="1"/>
  <c r="G15" i="4" s="1"/>
  <c r="C15" i="4"/>
  <c r="P28" i="4"/>
  <c r="P27" i="4"/>
  <c r="P26" i="4"/>
  <c r="P22" i="4"/>
  <c r="P21" i="4"/>
  <c r="P19" i="4"/>
  <c r="P18" i="4"/>
  <c r="P17" i="4"/>
  <c r="P16" i="4"/>
  <c r="O15" i="4"/>
  <c r="N15" i="4"/>
  <c r="P15" i="4" s="1"/>
  <c r="T39" i="6" l="1"/>
  <c r="E48" i="14" l="1"/>
  <c r="F20" i="12" l="1"/>
  <c r="F22" i="12" s="1"/>
  <c r="C19" i="12" l="1"/>
  <c r="K17" i="13" l="1"/>
  <c r="K14" i="13"/>
  <c r="K3" i="13"/>
  <c r="E15" i="13" l="1"/>
  <c r="U38" i="4" l="1"/>
  <c r="T40" i="6" l="1"/>
  <c r="T41" i="6"/>
  <c r="T39" i="4"/>
  <c r="T40" i="4"/>
  <c r="E48" i="15"/>
  <c r="T42" i="6" l="1"/>
  <c r="T72" i="15"/>
  <c r="U72" i="15" s="1"/>
  <c r="I14" i="15"/>
  <c r="J14" i="15"/>
  <c r="K14" i="15"/>
  <c r="M14" i="15"/>
  <c r="O14" i="15"/>
  <c r="P14" i="15"/>
  <c r="Q14" i="15"/>
  <c r="S14" i="15"/>
  <c r="E12" i="15"/>
  <c r="R19" i="9" l="1"/>
  <c r="J19" i="9"/>
  <c r="Q19" i="9"/>
  <c r="Q22" i="9" s="1"/>
  <c r="I19" i="9"/>
  <c r="I22" i="9" s="1"/>
  <c r="L19" i="9"/>
  <c r="L22" i="9" s="1"/>
  <c r="P19" i="9"/>
  <c r="P22" i="9" s="1"/>
  <c r="M19" i="9"/>
  <c r="M22" i="9" s="1"/>
  <c r="S19" i="9"/>
  <c r="S22" i="9" s="1"/>
  <c r="O19" i="9"/>
  <c r="O22" i="9" s="1"/>
  <c r="K19" i="9"/>
  <c r="K22" i="9" s="1"/>
  <c r="N19" i="9"/>
  <c r="N22" i="9" s="1"/>
  <c r="J22" i="9"/>
  <c r="R22" i="9"/>
  <c r="G7" i="15"/>
  <c r="T38" i="15"/>
  <c r="U38" i="15" s="1"/>
  <c r="E38" i="15" s="1"/>
  <c r="T30" i="15"/>
  <c r="U30" i="15" s="1"/>
  <c r="E30" i="15" s="1"/>
  <c r="N14" i="15"/>
  <c r="R14" i="15"/>
  <c r="L14" i="15"/>
  <c r="T22" i="15"/>
  <c r="U22" i="15" s="1"/>
  <c r="E22" i="15" s="1"/>
  <c r="H14" i="15"/>
  <c r="E12" i="14"/>
  <c r="E17" i="9"/>
  <c r="G21" i="9" s="1"/>
  <c r="E59" i="9"/>
  <c r="E84" i="9" l="1"/>
  <c r="E20" i="12" s="1"/>
  <c r="E94" i="9"/>
  <c r="E21" i="12" s="1"/>
  <c r="D21" i="12" s="1"/>
  <c r="H21" i="12"/>
  <c r="H22" i="12" s="1"/>
  <c r="E22" i="9"/>
  <c r="T14" i="14"/>
  <c r="U14" i="14" s="1"/>
  <c r="E14" i="14" s="1"/>
  <c r="T14" i="15"/>
  <c r="U14" i="15" s="1"/>
  <c r="E14" i="15" s="1"/>
  <c r="E16" i="15" s="1"/>
  <c r="E24" i="15" s="1"/>
  <c r="E38" i="14"/>
  <c r="G7" i="14"/>
  <c r="E30" i="14"/>
  <c r="G12" i="9"/>
  <c r="D20" i="12" l="1"/>
  <c r="D22" i="12" s="1"/>
  <c r="E22" i="12"/>
  <c r="H16" i="12"/>
  <c r="C21" i="12"/>
  <c r="B21" i="12" s="1"/>
  <c r="E16" i="14"/>
  <c r="E22" i="14"/>
  <c r="C20" i="12"/>
  <c r="E40" i="15"/>
  <c r="E32" i="15"/>
  <c r="G14" i="15"/>
  <c r="H14" i="12"/>
  <c r="H15" i="12"/>
  <c r="B20" i="12" l="1"/>
  <c r="B22" i="12" s="1"/>
  <c r="C22" i="12"/>
  <c r="I11" i="12"/>
  <c r="H11" i="12" s="1"/>
  <c r="I10" i="12"/>
  <c r="H10" i="12" s="1"/>
  <c r="I9" i="12"/>
  <c r="H9" i="12" s="1"/>
  <c r="I17" i="12"/>
  <c r="H17" i="12" s="1"/>
  <c r="E40" i="14"/>
  <c r="E32" i="14"/>
  <c r="G10" i="12"/>
  <c r="F10" i="12" s="1"/>
  <c r="G9" i="12"/>
  <c r="E24" i="14"/>
  <c r="G14" i="14"/>
  <c r="G12" i="15"/>
  <c r="I12" i="12" l="1"/>
  <c r="H12" i="12" s="1"/>
  <c r="G12" i="14"/>
  <c r="G17" i="12"/>
  <c r="G11" i="12"/>
  <c r="G12" i="12" l="1"/>
  <c r="F12" i="12" s="1"/>
  <c r="I16" i="13"/>
  <c r="U40" i="4" l="1"/>
  <c r="I14" i="13"/>
  <c r="I17" i="13"/>
  <c r="D28" i="8"/>
  <c r="E16" i="13"/>
  <c r="E17" i="13"/>
  <c r="E14" i="13"/>
  <c r="T48" i="9"/>
  <c r="T37" i="9"/>
  <c r="H19" i="9" l="1"/>
  <c r="T19" i="9" s="1"/>
  <c r="U19" i="9" s="1"/>
  <c r="E28" i="9"/>
  <c r="U37" i="9"/>
  <c r="E37" i="9" s="1"/>
  <c r="U48" i="9"/>
  <c r="E48" i="9" s="1"/>
  <c r="H22" i="9" l="1"/>
  <c r="T22" i="9" l="1"/>
  <c r="U22" i="9" l="1"/>
  <c r="E19" i="9"/>
  <c r="G19" i="9" s="1"/>
  <c r="E21" i="9" l="1"/>
  <c r="E31" i="9" s="1"/>
  <c r="E40" i="9" l="1"/>
  <c r="E39" i="9" s="1"/>
  <c r="E15" i="12" s="1"/>
  <c r="D15" i="12" s="1"/>
  <c r="E51" i="9"/>
  <c r="E30" i="9" l="1"/>
  <c r="E14" i="12" s="1"/>
  <c r="D14" i="12" s="1"/>
  <c r="E50" i="9"/>
  <c r="E16" i="12" s="1"/>
  <c r="D16" i="12" s="1"/>
  <c r="U30" i="5"/>
  <c r="G17" i="9" l="1"/>
  <c r="E17" i="12"/>
  <c r="D17" i="12" s="1"/>
  <c r="C14" i="12"/>
  <c r="B14" i="12" s="1"/>
  <c r="E9" i="12"/>
  <c r="D9" i="12" s="1"/>
  <c r="C15" i="12"/>
  <c r="B15" i="12" s="1"/>
  <c r="E10" i="12"/>
  <c r="C16" i="12"/>
  <c r="B16" i="12" s="1"/>
  <c r="E11" i="12"/>
  <c r="D11" i="12" s="1"/>
  <c r="F52" i="7"/>
  <c r="I52" i="7"/>
  <c r="J52" i="7"/>
  <c r="K52" i="7"/>
  <c r="L52" i="7"/>
  <c r="M52" i="7"/>
  <c r="Q52" i="7"/>
  <c r="R52" i="7"/>
  <c r="C10" i="12" l="1"/>
  <c r="B10" i="12" s="1"/>
  <c r="D10" i="12"/>
  <c r="C9" i="12"/>
  <c r="B9" i="12" s="1"/>
  <c r="E12" i="12"/>
  <c r="D12" i="12" s="1"/>
  <c r="C17" i="12"/>
  <c r="B17" i="12" s="1"/>
  <c r="C11" i="12"/>
  <c r="B11" i="12" s="1"/>
  <c r="T35" i="4"/>
  <c r="C12" i="12" l="1"/>
  <c r="B12" i="12" s="1"/>
  <c r="O32" i="7"/>
  <c r="N32" i="7"/>
  <c r="U41" i="5" l="1"/>
  <c r="T41" i="5"/>
  <c r="U40" i="5"/>
  <c r="T40" i="5"/>
  <c r="U39" i="5"/>
  <c r="T39" i="5"/>
  <c r="U38" i="5"/>
  <c r="T38" i="5"/>
  <c r="U37" i="5"/>
  <c r="T37" i="5"/>
  <c r="U35" i="5"/>
  <c r="T35" i="5"/>
  <c r="U34" i="5"/>
  <c r="T34" i="5"/>
  <c r="U33" i="5"/>
  <c r="T33" i="5"/>
  <c r="U32" i="5"/>
  <c r="T32" i="5"/>
  <c r="U31" i="5"/>
  <c r="T31" i="5"/>
  <c r="T30" i="5"/>
  <c r="U28" i="5"/>
  <c r="T28" i="5"/>
  <c r="U27" i="5"/>
  <c r="T27" i="5"/>
  <c r="U26" i="5"/>
  <c r="T26" i="5"/>
  <c r="U25" i="5"/>
  <c r="T25" i="5"/>
  <c r="U24" i="5"/>
  <c r="T24" i="5"/>
  <c r="U23" i="5"/>
  <c r="T23" i="5"/>
  <c r="U22" i="5"/>
  <c r="T22" i="5"/>
  <c r="U21" i="5"/>
  <c r="T21" i="5"/>
  <c r="U20" i="5"/>
  <c r="T20" i="5"/>
  <c r="U19" i="5"/>
  <c r="T19" i="5"/>
  <c r="U18" i="5"/>
  <c r="T18" i="5"/>
  <c r="U17" i="5"/>
  <c r="T17" i="5"/>
  <c r="U16" i="5"/>
  <c r="T16" i="5"/>
  <c r="U15" i="5"/>
  <c r="T15" i="5"/>
  <c r="U41" i="6"/>
  <c r="U40" i="6"/>
  <c r="U39" i="6"/>
  <c r="U38" i="6"/>
  <c r="U37" i="6"/>
  <c r="U42" i="6" s="1"/>
  <c r="U35" i="6"/>
  <c r="T35" i="6"/>
  <c r="U34" i="6"/>
  <c r="T34" i="6"/>
  <c r="U33" i="6"/>
  <c r="T33" i="6"/>
  <c r="U32" i="6"/>
  <c r="T32" i="6"/>
  <c r="U31" i="6"/>
  <c r="T31" i="6"/>
  <c r="U30" i="6"/>
  <c r="T30" i="6"/>
  <c r="U28" i="6"/>
  <c r="T28" i="6"/>
  <c r="U27" i="6"/>
  <c r="T27" i="6"/>
  <c r="U26" i="6"/>
  <c r="T26" i="6"/>
  <c r="U25" i="6"/>
  <c r="T25" i="6"/>
  <c r="U24" i="6"/>
  <c r="T24" i="6"/>
  <c r="U23" i="6"/>
  <c r="T23" i="6"/>
  <c r="U22" i="6"/>
  <c r="T22" i="6"/>
  <c r="U21" i="6"/>
  <c r="T21" i="6"/>
  <c r="U20" i="6"/>
  <c r="T20" i="6"/>
  <c r="U19" i="6"/>
  <c r="T19" i="6"/>
  <c r="U18" i="6"/>
  <c r="T18" i="6"/>
  <c r="U17" i="6"/>
  <c r="T17" i="6"/>
  <c r="U16" i="6"/>
  <c r="T16" i="6"/>
  <c r="U15" i="6"/>
  <c r="T15" i="6"/>
  <c r="T36" i="6" s="1"/>
  <c r="T38" i="4"/>
  <c r="U39" i="4"/>
  <c r="T41" i="4"/>
  <c r="U41" i="4"/>
  <c r="U37" i="4"/>
  <c r="T37" i="4"/>
  <c r="T33" i="4"/>
  <c r="U33" i="4"/>
  <c r="T34" i="4"/>
  <c r="U34" i="4"/>
  <c r="U35" i="4"/>
  <c r="T31" i="4"/>
  <c r="U31" i="4"/>
  <c r="T32" i="4"/>
  <c r="U32" i="4"/>
  <c r="T30" i="4"/>
  <c r="U30" i="4"/>
  <c r="T25" i="4"/>
  <c r="U25" i="4"/>
  <c r="T26" i="4"/>
  <c r="U26" i="4"/>
  <c r="T27" i="4"/>
  <c r="U27" i="4"/>
  <c r="T28" i="4"/>
  <c r="U28" i="4"/>
  <c r="T23" i="4"/>
  <c r="U23" i="4"/>
  <c r="T24" i="4"/>
  <c r="U24" i="4"/>
  <c r="T22" i="4"/>
  <c r="U22" i="4"/>
  <c r="T21" i="4"/>
  <c r="U21" i="4"/>
  <c r="T20" i="4"/>
  <c r="U20" i="4"/>
  <c r="T19" i="4"/>
  <c r="U19" i="4"/>
  <c r="T18" i="4"/>
  <c r="U18" i="4"/>
  <c r="T17" i="4"/>
  <c r="U17" i="4"/>
  <c r="T16" i="4"/>
  <c r="U16" i="4"/>
  <c r="U15" i="4"/>
  <c r="T15" i="4"/>
  <c r="U42" i="5" l="1"/>
  <c r="E50" i="14" s="1"/>
  <c r="U36" i="5"/>
  <c r="T42" i="4"/>
  <c r="T42" i="5"/>
  <c r="V42" i="5" s="1"/>
  <c r="D23" i="8" s="1"/>
  <c r="U42" i="4"/>
  <c r="V42" i="6"/>
  <c r="T36" i="5"/>
  <c r="V36" i="5" s="1"/>
  <c r="D15" i="8" s="1"/>
  <c r="U36" i="6"/>
  <c r="V36" i="6" s="1"/>
  <c r="D14" i="8" s="1"/>
  <c r="U36" i="4"/>
  <c r="T36" i="4"/>
  <c r="V42" i="4" l="1"/>
  <c r="D21" i="8" s="1"/>
  <c r="V36" i="4"/>
  <c r="D11" i="8" s="1"/>
  <c r="D29" i="8" l="1"/>
  <c r="A6" i="6" l="1"/>
  <c r="A6" i="5"/>
  <c r="A6" i="4"/>
  <c r="U10" i="7" l="1"/>
  <c r="T10" i="7"/>
  <c r="V10" i="7" l="1"/>
  <c r="P12" i="3"/>
  <c r="P43" i="5" l="1"/>
  <c r="H43" i="5"/>
  <c r="E43" i="5"/>
  <c r="O35" i="7"/>
  <c r="N35" i="7"/>
  <c r="O34" i="7"/>
  <c r="N34" i="7"/>
  <c r="O23" i="7"/>
  <c r="N23" i="7"/>
  <c r="O22" i="7"/>
  <c r="N22" i="7"/>
  <c r="O21" i="7"/>
  <c r="N21" i="7"/>
  <c r="O17" i="7"/>
  <c r="N17" i="7"/>
  <c r="O16" i="7"/>
  <c r="N16" i="7"/>
  <c r="O14" i="7"/>
  <c r="N14" i="7"/>
  <c r="O13" i="7"/>
  <c r="N13" i="7"/>
  <c r="O12" i="7"/>
  <c r="N12" i="7"/>
  <c r="O11" i="7"/>
  <c r="N11" i="7"/>
  <c r="O10" i="7"/>
  <c r="N10" i="7"/>
  <c r="D38" i="7"/>
  <c r="C38" i="7"/>
  <c r="D36" i="7"/>
  <c r="C36" i="7"/>
  <c r="D35" i="7"/>
  <c r="C35" i="7"/>
  <c r="D34" i="7"/>
  <c r="C34" i="7"/>
  <c r="D33" i="7"/>
  <c r="C33" i="7"/>
  <c r="D32" i="7"/>
  <c r="C32" i="7"/>
  <c r="D30" i="7"/>
  <c r="C30" i="7"/>
  <c r="D29" i="7"/>
  <c r="C29" i="7"/>
  <c r="D28" i="7"/>
  <c r="C28" i="7"/>
  <c r="D27" i="7"/>
  <c r="C27" i="7"/>
  <c r="D26" i="7"/>
  <c r="C26" i="7"/>
  <c r="D25" i="7"/>
  <c r="C25" i="7"/>
  <c r="D23" i="7"/>
  <c r="C23" i="7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D15" i="7"/>
  <c r="C15" i="7"/>
  <c r="D14" i="7"/>
  <c r="C14" i="7"/>
  <c r="D13" i="7"/>
  <c r="C13" i="7"/>
  <c r="D12" i="7"/>
  <c r="C12" i="7"/>
  <c r="D11" i="7"/>
  <c r="C11" i="7"/>
  <c r="D10" i="7"/>
  <c r="C10" i="7"/>
  <c r="P32" i="7"/>
  <c r="D52" i="7" l="1"/>
  <c r="O52" i="7"/>
  <c r="N52" i="7"/>
  <c r="C52" i="7"/>
  <c r="E36" i="7"/>
  <c r="H36" i="7" s="1"/>
  <c r="E33" i="7"/>
  <c r="H33" i="7" s="1"/>
  <c r="E32" i="7"/>
  <c r="G32" i="7" s="1"/>
  <c r="E25" i="7"/>
  <c r="H25" i="7" s="1"/>
  <c r="E15" i="7"/>
  <c r="H15" i="7" s="1"/>
  <c r="P11" i="7"/>
  <c r="P35" i="7"/>
  <c r="P34" i="7"/>
  <c r="E35" i="7"/>
  <c r="E34" i="7"/>
  <c r="E29" i="7"/>
  <c r="H29" i="7" s="1"/>
  <c r="E28" i="7"/>
  <c r="H28" i="7" s="1"/>
  <c r="E27" i="7"/>
  <c r="H27" i="7" s="1"/>
  <c r="E23" i="7"/>
  <c r="E22" i="7"/>
  <c r="E21" i="7"/>
  <c r="E20" i="7"/>
  <c r="H20" i="7" s="1"/>
  <c r="E19" i="7"/>
  <c r="H19" i="7" s="1"/>
  <c r="E17" i="7"/>
  <c r="E16" i="7"/>
  <c r="E13" i="7"/>
  <c r="E12" i="7"/>
  <c r="E30" i="7"/>
  <c r="H30" i="7" s="1"/>
  <c r="E26" i="7"/>
  <c r="H26" i="7" s="1"/>
  <c r="E18" i="7"/>
  <c r="H18" i="7" s="1"/>
  <c r="E14" i="7"/>
  <c r="P23" i="7"/>
  <c r="P22" i="7"/>
  <c r="P21" i="7"/>
  <c r="P17" i="7"/>
  <c r="P16" i="7"/>
  <c r="P13" i="7"/>
  <c r="P14" i="7"/>
  <c r="P12" i="7"/>
  <c r="E11" i="7"/>
  <c r="E38" i="7"/>
  <c r="H38" i="7" s="1"/>
  <c r="P10" i="7"/>
  <c r="E10" i="7"/>
  <c r="H35" i="6"/>
  <c r="E35" i="6"/>
  <c r="H34" i="6"/>
  <c r="E34" i="6"/>
  <c r="E33" i="6"/>
  <c r="H33" i="6" s="1"/>
  <c r="E32" i="6"/>
  <c r="H32" i="6" s="1"/>
  <c r="E31" i="6"/>
  <c r="H31" i="6" s="1"/>
  <c r="E30" i="6"/>
  <c r="P28" i="5"/>
  <c r="E28" i="5"/>
  <c r="G28" i="5" s="1"/>
  <c r="P27" i="5"/>
  <c r="E27" i="5"/>
  <c r="G27" i="5" s="1"/>
  <c r="P26" i="5"/>
  <c r="G26" i="5"/>
  <c r="E26" i="5"/>
  <c r="E25" i="5"/>
  <c r="E24" i="5"/>
  <c r="E23" i="5"/>
  <c r="P22" i="5"/>
  <c r="E22" i="5"/>
  <c r="G22" i="5" s="1"/>
  <c r="P21" i="5"/>
  <c r="E21" i="5"/>
  <c r="G21" i="5" s="1"/>
  <c r="E20" i="5"/>
  <c r="H20" i="5" s="1"/>
  <c r="P19" i="5"/>
  <c r="E19" i="5"/>
  <c r="G19" i="5" s="1"/>
  <c r="P18" i="5"/>
  <c r="E18" i="5"/>
  <c r="G18" i="5" s="1"/>
  <c r="P17" i="5"/>
  <c r="G17" i="5"/>
  <c r="E17" i="5"/>
  <c r="P16" i="5"/>
  <c r="E16" i="5"/>
  <c r="G16" i="5" s="1"/>
  <c r="P15" i="5"/>
  <c r="E15" i="5"/>
  <c r="G15" i="5" s="1"/>
  <c r="H38" i="3"/>
  <c r="H36" i="3"/>
  <c r="H33" i="3"/>
  <c r="H30" i="3"/>
  <c r="H29" i="3"/>
  <c r="H28" i="3"/>
  <c r="H27" i="3"/>
  <c r="H26" i="3"/>
  <c r="H15" i="3"/>
  <c r="G35" i="3"/>
  <c r="G34" i="3"/>
  <c r="G32" i="3"/>
  <c r="G23" i="3"/>
  <c r="G22" i="3"/>
  <c r="G21" i="3"/>
  <c r="G17" i="3"/>
  <c r="G16" i="3"/>
  <c r="G14" i="3"/>
  <c r="G13" i="3"/>
  <c r="G11" i="3"/>
  <c r="G10" i="3"/>
  <c r="P10" i="3"/>
  <c r="P13" i="3"/>
  <c r="P11" i="3"/>
  <c r="P14" i="3"/>
  <c r="P16" i="3"/>
  <c r="P17" i="3"/>
  <c r="P22" i="3"/>
  <c r="P21" i="3"/>
  <c r="P23" i="3"/>
  <c r="P32" i="3"/>
  <c r="P34" i="3"/>
  <c r="P35" i="3"/>
  <c r="E38" i="3"/>
  <c r="E36" i="3"/>
  <c r="E35" i="3"/>
  <c r="E34" i="3"/>
  <c r="E33" i="3"/>
  <c r="E32" i="3"/>
  <c r="E30" i="3"/>
  <c r="E29" i="3"/>
  <c r="E28" i="3"/>
  <c r="E27" i="3"/>
  <c r="E26" i="3"/>
  <c r="E25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H52" i="7" l="1"/>
  <c r="W10" i="7"/>
  <c r="P52" i="7"/>
  <c r="E52" i="7"/>
  <c r="G11" i="7"/>
  <c r="G13" i="7"/>
  <c r="G16" i="7"/>
  <c r="G12" i="7"/>
  <c r="G34" i="7"/>
  <c r="G35" i="7"/>
  <c r="G23" i="7"/>
  <c r="G22" i="7"/>
  <c r="G21" i="7"/>
  <c r="G17" i="7"/>
  <c r="G14" i="7"/>
  <c r="G12" i="3"/>
  <c r="G10" i="7"/>
  <c r="G52" i="7" l="1"/>
  <c r="D3" i="8"/>
  <c r="F3" i="14"/>
  <c r="F3" i="9"/>
  <c r="R3" i="5"/>
  <c r="F3" i="15"/>
  <c r="I3" i="12"/>
  <c r="R3" i="6"/>
</calcChain>
</file>

<file path=xl/comments1.xml><?xml version="1.0" encoding="utf-8"?>
<comments xmlns="http://schemas.openxmlformats.org/spreadsheetml/2006/main">
  <authors>
    <author>Автор</author>
  </authors>
  <commentList>
    <comment ref="C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819- декабрь 2023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1"/>
            <color indexed="81"/>
            <rFont val="Tahoma"/>
            <family val="2"/>
            <charset val="204"/>
          </rPr>
          <t xml:space="preserve">
14021+390 - ЭТО ДЕКАБРЬ 2023 (взрослое население)</t>
        </r>
      </text>
    </comment>
    <comment ref="N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мед.эксперт
</t>
        </r>
        <r>
          <rPr>
            <b/>
            <sz val="10"/>
            <color indexed="81"/>
            <rFont val="Tahoma"/>
            <family val="2"/>
            <charset val="204"/>
          </rPr>
          <t>511 - декабрь 2022 года</t>
        </r>
      </text>
    </comment>
    <comment ref="O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14824 - ЭТО ДЕКАБРЬ 2022 (взрослое население)</t>
        </r>
      </text>
    </comment>
    <comment ref="C43" authorId="0" shapeId="0">
      <text>
        <r>
          <rPr>
            <b/>
            <sz val="10"/>
            <color indexed="81"/>
            <rFont val="Tahoma"/>
            <family val="2"/>
            <charset val="204"/>
          </rPr>
          <t>Автор:
8780 УЕТ за декабрь 2023 года</t>
        </r>
      </text>
    </comment>
    <comment ref="D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14161 - декабрь 2023 года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900 И 511 - ЭТО ДЕКАБРЬ 2022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21204 - ЭТО ДЕКАБРЬ 2022 ГОДА</t>
        </r>
      </text>
    </comment>
    <comment ref="N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815+286- ЭТО ДЕКАБРЬ 2021</t>
        </r>
      </text>
    </comment>
    <comment ref="O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25779 - ЭТО ДЕКАБРЬ 2021 ГОДА</t>
        </r>
      </text>
    </comment>
    <comment ref="C43" authorId="0" shapeId="0">
      <text>
        <r>
          <rPr>
            <b/>
            <sz val="10"/>
            <color indexed="81"/>
            <rFont val="Tahoma"/>
            <family val="2"/>
            <charset val="204"/>
          </rPr>
          <t>Автор:
69790 УЕТ за декабрь 2023 года</t>
        </r>
      </text>
    </comment>
    <comment ref="D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47055 - это декабрь 2023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G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 с учетом понижающих коэффициентов</t>
        </r>
      </text>
    </comment>
    <comment ref="E9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<sst xmlns="http://schemas.openxmlformats.org/spreadsheetml/2006/main" count="1267" uniqueCount="202">
  <si>
    <t>Комментарий (необязательно)</t>
  </si>
  <si>
    <t>Аналогичный период годом ранее</t>
  </si>
  <si>
    <t>Доля врачебных посещений с профилактической целью за период, от общего числа посещений за период (включая посещения на дому).</t>
  </si>
  <si>
    <t>Доля взрослых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период.</t>
  </si>
  <si>
    <t>Доля взрослых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период.</t>
  </si>
  <si>
    <t>Доля взрослых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период.</t>
  </si>
  <si>
    <t>Доля взрослых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период.</t>
  </si>
  <si>
    <t>Выполнение плана вакцинации взрослых граждан по эпидемиологическим показаниям за период (коронавирусная инфекция COVID-19)</t>
  </si>
  <si>
    <t xml:space="preserve">Доля взрослых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смерти, за период. </t>
  </si>
  <si>
    <t>Доля взрослых,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находящихся под диспансерным наблюдением по поводу сахарного диабета за период.</t>
  </si>
  <si>
    <t>Доля взрослых, повторно госпитализированных за период по причине заболеваний сердечно-сосудистой системы или их осложнений в течение года  с момента предыдущей госпитализации, от общего числа взрослых, госпитализированных за период по причине заболеваний сердечно-сосудистой системы или их осложнений.</t>
  </si>
  <si>
    <t>Доля взрослых,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период.</t>
  </si>
  <si>
    <t>Доля взрослых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период.</t>
  </si>
  <si>
    <t>Доля взрослых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период.</t>
  </si>
  <si>
    <t xml:space="preserve">Доля взрослых с болезнями системы кровообращения, в отношении которых установлено диспансерное наблюдение 
за период, от общего числа взрослых пациентов с впервые в жизни установленным диагнозом болезни системы кровообращения за период. </t>
  </si>
  <si>
    <t xml:space="preserve">Число взрослых с болезнями  системы кровообращения*, имеющих высокий риск преждевременной смерти, которым за период оказана медицинская  помощь в экстренной и неотложной форме, от общего числа  взрослых пациентов с болезнями системы кровообращения*, имеющих высокий риск преждевременной смерти, за период. </t>
  </si>
  <si>
    <t>Охват вакцинацией детей в рамках Национального календаря прививок.</t>
  </si>
  <si>
    <t>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период.</t>
  </si>
  <si>
    <t>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период.</t>
  </si>
  <si>
    <t>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период.</t>
  </si>
  <si>
    <t>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период.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</si>
  <si>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период.</t>
  </si>
  <si>
    <t>Доля женщин, отказавшихся от искусственного прерывания беременности, от числа женщин, прошедших доабортное консультирование за период.</t>
  </si>
  <si>
    <t>Доля беременных женщин, вакцинированных от новой  коронавирусной инфекции (COVID-19), за период, от числа женщин, состоящих на учете по беременности и родам на начало периода.</t>
  </si>
  <si>
    <t>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 новообразование шейки матки за период.</t>
  </si>
  <si>
    <t>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период.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</si>
  <si>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период.</t>
  </si>
  <si>
    <t>Правила заполнения столбцов.</t>
  </si>
  <si>
    <t>х</t>
  </si>
  <si>
    <t>Соответствие МО категории "минимально/максимально возможное значение" по соответствующему показателю</t>
  </si>
  <si>
    <t>Соответствие МО категории "выше/ниже среднего" по соответствующему показателю</t>
  </si>
  <si>
    <t>Балл</t>
  </si>
  <si>
    <t xml:space="preserve">Факт применения показателя для МО </t>
  </si>
  <si>
    <r>
      <rPr>
        <b/>
        <sz val="9"/>
        <color theme="1"/>
        <rFont val="Calibri"/>
        <family val="2"/>
        <scheme val="minor"/>
      </rPr>
      <t>Значение в числителе</t>
    </r>
    <r>
      <rPr>
        <sz val="9"/>
        <color theme="1"/>
        <rFont val="Calibri"/>
        <family val="2"/>
        <scheme val="minor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</si>
  <si>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Calibri"/>
        <family val="2"/>
        <scheme val="minor"/>
      </rPr>
      <t>Значение в знаменателе</t>
    </r>
    <r>
      <rPr>
        <sz val="9"/>
        <color theme="1"/>
        <rFont val="Calibri"/>
        <family val="2"/>
        <scheme val="minor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</si>
  <si>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Calibri"/>
        <family val="2"/>
        <scheme val="minor"/>
      </rPr>
      <t>Фактически достигнутое значение</t>
    </r>
    <r>
      <rPr>
        <sz val="9"/>
        <color theme="1"/>
        <rFont val="Calibri"/>
        <family val="2"/>
        <scheme val="minor"/>
      </rPr>
      <t xml:space="preserve"> показателя 
за анализируемый период, доля</t>
    </r>
  </si>
  <si>
    <r>
      <rPr>
        <b/>
        <sz val="9"/>
        <color theme="1"/>
        <rFont val="Calibri"/>
        <family val="2"/>
        <scheme val="minor"/>
      </rPr>
      <t>Целевое значение</t>
    </r>
    <r>
      <rPr>
        <sz val="9"/>
        <color theme="1"/>
        <rFont val="Calibri"/>
        <family val="2"/>
        <scheme val="minor"/>
      </rPr>
      <t xml:space="preserve"> показателя 
на анализируемый период 
(план)</t>
    </r>
  </si>
  <si>
    <r>
      <t xml:space="preserve">* Комментарии по заполнению формы:
</t>
    </r>
    <r>
      <rPr>
        <sz val="9"/>
        <color theme="1"/>
        <rFont val="Calibri"/>
        <family val="2"/>
        <charset val="204"/>
        <scheme val="minor"/>
      </rPr>
      <t>- достижение показателя результативности оценивается в соответствии с сопоставимым периодом годом ранее;</t>
    </r>
    <r>
      <rPr>
        <sz val="9"/>
        <color theme="1"/>
        <rFont val="Calibri"/>
        <family val="2"/>
        <scheme val="minor"/>
      </rPr>
      <t xml:space="preserve">
- в субъекте РФ могут быть выделены дополнительные показатели результативности для медицинских организаций, оказывающих медицинскую помощь по профилю "Стоматология", которые отражаются в таблице под номерами</t>
    </r>
    <r>
      <rPr>
        <sz val="9"/>
        <color theme="1"/>
        <rFont val="Calibri"/>
        <family val="2"/>
        <charset val="204"/>
        <scheme val="minor"/>
      </rPr>
      <t xml:space="preserve"> 26 и выше</t>
    </r>
    <r>
      <rPr>
        <sz val="9"/>
        <color theme="1"/>
        <rFont val="Calibri"/>
        <family val="2"/>
        <scheme val="minor"/>
      </rPr>
      <t>. Добавление иных показателей в форму не допускается.</t>
    </r>
  </si>
  <si>
    <t>** В целях единообразия и сопоставимости представления данных для всех значение в столбце "Фактически достигнутое значение показателя" указывается в формате доли (не 90, а 0,9).</t>
  </si>
  <si>
    <t>*** Блок 4 заполняется только в том случае, если в субъекте РФ выделены подушевые нормативы финансирования на прикрепившихся лиц по профилю «Стоматология» для оплаты первичной (первичной специализированной) медико-санитарной помощи по соответствующему профилю.</t>
  </si>
  <si>
    <t>Наименование показателя результативности по профилю "Стоматология"</t>
  </si>
  <si>
    <r>
      <t xml:space="preserve">0 - не применяется, 
1 - применяется, 
2 - применяется, но исключен из числа применяемых показателей при расчете доли достигнутых показателей в связи со значением "0" в столбце 4
</t>
    </r>
    <r>
      <rPr>
        <b/>
        <sz val="9"/>
        <color theme="1"/>
        <rFont val="Calibri"/>
        <family val="2"/>
        <charset val="204"/>
        <scheme val="minor"/>
      </rPr>
      <t>Обязательно для заполнения всегда</t>
    </r>
  </si>
  <si>
    <t>Прирост (уменьшение), %</t>
  </si>
  <si>
    <t>Доля выполнение плана</t>
  </si>
  <si>
    <t>1- в случае соответствия МО указанному критерию начисления баллов
0 - в случае несоответствия (или неприменения показателя)</t>
  </si>
  <si>
    <t>Итоговый балл, присвоенный МО по показателю за предыдущий период
Заполнение обязательно при условии значения "1" в столбце "Факт применения показателя"
Значение от 0 до 2 включительно.</t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</si>
  <si>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Calibri"/>
        <family val="2"/>
        <scheme val="minor"/>
      </rPr>
      <t>На 100 не умножается.</t>
    </r>
    <r>
      <rPr>
        <sz val="9"/>
        <color theme="1"/>
        <rFont val="Calibri"/>
        <family val="2"/>
        <scheme val="minor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scheme val="minor"/>
      </rPr>
      <t>Рассчитывается по формуле ("графа 3" / "графа 4")</t>
    </r>
  </si>
  <si>
    <t>Заполнение обязательно при условии значения "1" в столбце "Факт применения показателя" (гр. 12)</t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</si>
  <si>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Calibri"/>
        <family val="2"/>
        <scheme val="minor"/>
      </rPr>
      <t>На 100 не умножается.</t>
    </r>
    <r>
      <rPr>
        <sz val="9"/>
        <color theme="1"/>
        <rFont val="Calibri"/>
        <family val="2"/>
        <scheme val="minor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scheme val="minor"/>
      </rPr>
      <t>Рассчитывается по формуле ("графа 14"/"графа 15")</t>
    </r>
  </si>
  <si>
    <r>
      <t xml:space="preserve">Число с округлением не более 9 знаков после запятой. На 100 не умножается.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charset val="204"/>
        <scheme val="minor"/>
      </rPr>
      <t>Рассчитывается по формуле ("графа 5" / "графа 6" )</t>
    </r>
  </si>
  <si>
    <t>Итоговый балл, присваиваемый МО по показателю
Заполнение обязательно при условии значения "1" в столбце "Факт применения показателя" (гр. 12)
Значение от 0 до 2 включительно.</t>
  </si>
  <si>
    <r>
      <t xml:space="preserve">Число с округлением не более 9 знаков после запятой. 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charset val="204"/>
        <scheme val="minor"/>
      </rPr>
      <t>Рассчитывается по формуле ("графа 5"/"графа 16" * 100 - 100)</t>
    </r>
  </si>
  <si>
    <t>Текущий период</t>
  </si>
  <si>
    <r>
      <t xml:space="preserve">Число с округлением не более 9 знаков после запятой в формате, сопоставимом с графой 5. </t>
    </r>
    <r>
      <rPr>
        <u/>
        <sz val="9"/>
        <color theme="1"/>
        <rFont val="Calibri"/>
        <family val="2"/>
        <charset val="204"/>
        <scheme val="minor"/>
      </rPr>
      <t>На 100 не умножается.</t>
    </r>
    <r>
      <rPr>
        <sz val="9"/>
        <color theme="1"/>
        <rFont val="Calibri"/>
        <family val="2"/>
        <scheme val="minor"/>
      </rPr>
      <t xml:space="preserve">
Возможное значение - не более 1.
Заполнение обязательно при условии значения "1" в столбце "Факт применения показателя" (гр. 12)</t>
    </r>
  </si>
  <si>
    <t>Наименование показателя результативности 
в соответствии с приказом МЗ РФ
от 10.02.2023 № 44н</t>
  </si>
  <si>
    <t xml:space="preserve">Номер 
показателя резуль-тативности 
</t>
  </si>
  <si>
    <t>Блок 1 "Взрослое население (в возрасте 18 лет и старше)"</t>
  </si>
  <si>
    <t>Блок 2 "Детское население (от 0 до 17 лет включительно)"</t>
  </si>
  <si>
    <t>Блок 3 "Оказание акушерско-гинекологической помощи"</t>
  </si>
  <si>
    <t>Блок 4 "Стоматология" (не обязательно для заполнения)</t>
  </si>
  <si>
    <t>Сведения об использовании показателей результативности деятельности медицинских организаций за декабрь-апрель  (выбранный период)*</t>
  </si>
  <si>
    <t>ПРИЛОЖЕНИЕ № 2</t>
  </si>
  <si>
    <t xml:space="preserve">Ранжирование медицинских организаций по итогам проведения Мониторинга достижения значений показателей результативности деятельности </t>
  </si>
  <si>
    <t>группы</t>
  </si>
  <si>
    <t>критерий отбора</t>
  </si>
  <si>
    <t>Наименование МО</t>
  </si>
  <si>
    <t>Процент фактического выполнения показателей</t>
  </si>
  <si>
    <t>I*</t>
  </si>
  <si>
    <t>ГБУЗ "Магаданская областная больница"</t>
  </si>
  <si>
    <t xml:space="preserve">МОГБУЗ "Городская поликлиника" </t>
  </si>
  <si>
    <t>II</t>
  </si>
  <si>
    <t>III</t>
  </si>
  <si>
    <t>1.2. по подушевому нормативу финансирования на прикрепившихся лиц по профилю "Акушерство и гинекология"</t>
  </si>
  <si>
    <t>выполнившие до 40 процентов показателей</t>
  </si>
  <si>
    <t>от 40 (включительно) до 60 процентов показателей</t>
  </si>
  <si>
    <t>от 60 (включительно)</t>
  </si>
  <si>
    <r>
      <t xml:space="preserve"> *общий объем средств, направляемых на оплату медицинской помощи 
с учетом показателей результативности деятельности в медицинскую организацию III группы за j-тый период определяется путем суммирования 
1 и 2 частей, а </t>
    </r>
    <r>
      <rPr>
        <b/>
        <i/>
        <sz val="13"/>
        <rFont val="Times New Roman"/>
        <family val="1"/>
        <charset val="204"/>
      </rPr>
      <t xml:space="preserve">для медицинских организаций I группы за j-тый период  – </t>
    </r>
    <r>
      <rPr>
        <b/>
        <i/>
        <u/>
        <sz val="13"/>
        <rFont val="Times New Roman"/>
        <family val="1"/>
        <charset val="204"/>
      </rPr>
      <t xml:space="preserve"> равняется нулю</t>
    </r>
    <r>
      <rPr>
        <i/>
        <u/>
        <sz val="13"/>
        <rFont val="Times New Roman"/>
        <family val="1"/>
        <charset val="204"/>
      </rPr>
      <t>.</t>
    </r>
  </si>
  <si>
    <t>1.1. по подушевому нормативу финансирования на прикрепившихся лиц за исключением профилей "Акушерство и гинекология" и "Стоматология"</t>
  </si>
  <si>
    <t>к Решению Комиссии по разработке ТПОМС</t>
  </si>
  <si>
    <t>ПРИЛОЖЕНИЕ № 1</t>
  </si>
  <si>
    <t>Таблица 1.3.</t>
  </si>
  <si>
    <t>Таблица 1.2.</t>
  </si>
  <si>
    <t>Таблица 1.1.</t>
  </si>
  <si>
    <t>ГБУЗ "Магаданский областной центр охраны материнства и детства"</t>
  </si>
  <si>
    <t>ПРИЛОЖЕНИЕ № 3</t>
  </si>
  <si>
    <t>– распределение 70 процентов* от объема средств с учетом показателей результативности за соответствующий период.</t>
  </si>
  <si>
    <t>Указанные средства распределяются среди медицинских организаций II и III групп с учетом численности прикрепленного населения.</t>
  </si>
  <si>
    <t>рублей</t>
  </si>
  <si>
    <t>численность прикрепленного населения в j-м периоде ко всем медицинским организациям II и III групп.</t>
  </si>
  <si>
    <t>человек</t>
  </si>
  <si>
    <t>где:</t>
  </si>
  <si>
    <t>в том числе:</t>
  </si>
  <si>
    <t>– распределение 30 процентов от объема средств с учетом показателей результативности за соответствующий период.</t>
  </si>
  <si>
    <t>Указанные средства распределяются среди медицинских организаций III группы с учетом численности прикрепленного населения.</t>
  </si>
  <si>
    <t>∑Балл</t>
  </si>
  <si>
    <t>количество   баллов, набранных   в   j-м   периоде   всеми медицинскими организациями III группы.</t>
  </si>
  <si>
    <t>объем средств, используемый при распределении 30 процентов от объема средств на стимулирование медицинских организаций за j-ый период, в расчете на 1 балл, рублей;</t>
  </si>
  <si>
    <t>Объем средств, направляемый в i-ю медицинскую организацию 
III группы за j-тый период, при распределении 30 процентов от объема средств на стимулирование медицинских организаций, рассчитывается следующим образом:</t>
  </si>
  <si>
    <t>количество баллов, набранных в j-м периоде i-той медицинской организацией III группы.</t>
  </si>
  <si>
    <t xml:space="preserve"> * Если по итогам года отсутствуют медицинские организации, включенные в III группу, средства, предназначенные для осуществления стимулирующих выплат медицинским организациям III группы, распределяются между медицинскими организациями II группы в соответствии с установленной методикой (с учетом численности прикрепленного населения).</t>
  </si>
  <si>
    <t>1.2. По подушевому нормативу финансирования на прикрепившихся лиц по профилю "Акушерство и гинекология"</t>
  </si>
  <si>
    <t>1.3. по подушевому нормативу финансирования на прикрепившихся лиц по профилю "Стоматология"</t>
  </si>
  <si>
    <t>1.3. По подушевому нормативу финансирования на прикрепившихся лиц по профилю "Стоматология"</t>
  </si>
  <si>
    <t xml:space="preserve"> - численность прикрепленного населения за 12 месяцев.</t>
  </si>
  <si>
    <t>совокупный объем средств на стимулирование медицинских организаций за 12 месяцев, рублей</t>
  </si>
  <si>
    <t>с 01.01</t>
  </si>
  <si>
    <r>
      <t xml:space="preserve">объем средств, используемый при распределении 
70 процентов от объема средств на стимулирование медицинских организаций за j-ый период, в расчете на 1 прикрепленное лицо, рублей* </t>
    </r>
    <r>
      <rPr>
        <sz val="12"/>
        <rFont val="Times New Roman"/>
        <family val="1"/>
        <charset val="204"/>
      </rPr>
      <t>;</t>
    </r>
  </si>
  <si>
    <t xml:space="preserve"> - объем средств, направляемый в медицинские организации II и III группы</t>
  </si>
  <si>
    <t>с 01.05</t>
  </si>
  <si>
    <t>с 01.06</t>
  </si>
  <si>
    <t>с 01.07</t>
  </si>
  <si>
    <t>с 01.08</t>
  </si>
  <si>
    <t>с 01.11</t>
  </si>
  <si>
    <r>
      <t>1.1.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"МАГАДАНСКАЯ ОБЛАСТНАЯ БОЛЬНИЦА"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70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</si>
  <si>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r>
      <t>1.2.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"МАГАДАНСКИЙ ОБЛАСТНОЙ ЦЕНТР ОХРАНЫ МАТЕРИНСТВА И ДЕТСТВА"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70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</si>
  <si>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r>
      <t>1.3.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МОГБУЗ "ГОРОДСКАЯ ПОЛИКЛИНИКА"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70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</si>
  <si>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t>I. По подушевому нормативу финансирования на прикрепившихся лиц за исключением профилей "Акушерство и гинекология" и "Стоматология"</t>
  </si>
  <si>
    <r>
      <t xml:space="preserve">1.  </t>
    </r>
    <r>
      <rPr>
        <b/>
        <u/>
        <sz val="16"/>
        <color rgb="FF0000FF"/>
        <rFont val="Times New Roman"/>
        <family val="1"/>
        <charset val="204"/>
      </rPr>
      <t>1 часть</t>
    </r>
  </si>
  <si>
    <r>
      <t xml:space="preserve">2.  </t>
    </r>
    <r>
      <rPr>
        <b/>
        <u/>
        <sz val="16"/>
        <color rgb="FF0000FF"/>
        <rFont val="Times New Roman"/>
        <family val="1"/>
        <charset val="204"/>
      </rPr>
      <t>2 часть</t>
    </r>
  </si>
  <si>
    <t>ПНФ за исключением профилей "Акушерство и гинекология" и "Стоматология"</t>
  </si>
  <si>
    <t>ВСЕГО</t>
  </si>
  <si>
    <t>для Магаданского филиала АО «Страховая компания «СОГАЗ-Мед»</t>
  </si>
  <si>
    <t>МОГБУЗ "Городская поликлиника"</t>
  </si>
  <si>
    <t>1.СВОД</t>
  </si>
  <si>
    <t>1.2. медицинские организации III группы</t>
  </si>
  <si>
    <t>ИТОГО:</t>
  </si>
  <si>
    <t>АНАЛИЗ</t>
  </si>
  <si>
    <t>** при выполнении менее 90 процентов, установленных решением Комиссии объемов предоставления медицинской помощи с профилактической и иными целями, а также по поводу заболеваний (посещений и обращений соответственно) к объему стимулирующих выплат применяется понижающий коэфициент - 0,95.</t>
  </si>
  <si>
    <t>показатели смертности прикрепленного населения*</t>
  </si>
  <si>
    <t>1.  По подушевому нормативу финансирования на прикрепившихся лиц за исключением профилей "Акушерство и гинекология" и "Стоматология"</t>
  </si>
  <si>
    <t>*  в случае отсутствия снижения показателей смертности прикрепленного к ней населения в возрасте от 30 до 69 лет (за исключением смертности от внешних причин) и (или) смертности детей в возрасте от 0-17 лет (за исключением смертности от внешних причин) применяется понижающий коэфициент - 0,95.</t>
  </si>
  <si>
    <t>Применение понижающего коэффициента</t>
  </si>
  <si>
    <t>План</t>
  </si>
  <si>
    <t>Факт</t>
  </si>
  <si>
    <t>30-69 лет</t>
  </si>
  <si>
    <t>0-17</t>
  </si>
  <si>
    <t>динамика 
(стр.3/стр.2)</t>
  </si>
  <si>
    <t>Выполнение
(стр.3/стр.2)</t>
  </si>
  <si>
    <t>баллов</t>
  </si>
  <si>
    <r>
      <t xml:space="preserve"> Объем средств, направляемый в медицинские организации по итогам оценки достижения значений показателей результативности деятельности (ОС</t>
    </r>
    <r>
      <rPr>
        <b/>
        <sz val="10"/>
        <color rgb="FF0000FF"/>
        <rFont val="Times New Roman"/>
        <family val="1"/>
        <charset val="204"/>
      </rPr>
      <t>РД</t>
    </r>
    <r>
      <rPr>
        <b/>
        <sz val="16"/>
        <color rgb="FF0000FF"/>
        <rFont val="Times New Roman"/>
        <family val="1"/>
        <charset val="204"/>
      </rPr>
      <t>)</t>
    </r>
  </si>
  <si>
    <t>2.1. В III группу по результатам ранжирования включена одна медицинская организация ГБУЗ "Магаданский областной центр охраны материнства и детства" в связи с чем все средства приходятся на данную медицинскую организацию</t>
  </si>
  <si>
    <t xml:space="preserve"> - объем средств, направляемый в медицинские организации III группы</t>
  </si>
  <si>
    <t xml:space="preserve"> - объем средств, направляемый в медицинские организации II и III группы, при распределении 70 процентов </t>
  </si>
  <si>
    <t>Наименование медицинской организации</t>
  </si>
  <si>
    <t>критерий выполнения не менее 90 процентов от объемов, установленных решением Комиссии объемов**</t>
  </si>
  <si>
    <t>ПРИЛОЖЕНИЕ № 5</t>
  </si>
  <si>
    <t>с 01.02</t>
  </si>
  <si>
    <t>с 01.03</t>
  </si>
  <si>
    <t>с 01.04</t>
  </si>
  <si>
    <t>с 01.09</t>
  </si>
  <si>
    <t>с 01.10</t>
  </si>
  <si>
    <t>с 01.12</t>
  </si>
  <si>
    <t>2.1. В III группу по результатам ранжирования включена одна медицинская организация МОГБУЗ "Городская поликлиника" в связи с чем все средства приходятся на данную медицинскую организацию</t>
  </si>
  <si>
    <r>
      <t>2.2.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МОГБУЗ "ГОРОДСКАЯ ПОЛИКЛИНИКА"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30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</si>
  <si>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t xml:space="preserve">      Согласно Методики оценки критериев показателей результативности осуществление выплат стимулирующего характера медицинской организации, оказывающей медицинскую помощь в амбулаторных условиях, по результатам оценки ее деятельности, следует производить в полном объеме при условии снижения показателей смертности прикрепленного к ней населения в возрасте от 30 до 69 лет (за исключением смертности от внешних причин) и (или) смертности детей в возрасте от 0-17 лет (за исключением смертности от внешних причин) (далее – показатели смертности прикрепленного населения (взрослого и детского), а также фактического выполнения не менее 90 процентов, установленных решением Комиссии объемов предоставления медицинской помощи с профилактической и иными целями, а также по поводу заболеваний (посещений и обращений соответственно).</t>
  </si>
  <si>
    <t>Расчет</t>
  </si>
  <si>
    <t>дополнительных критериев, применяемых при оценке достижения значений показателей результативности деятельности</t>
  </si>
  <si>
    <t>объема средств, направляемого в медицинские организации по итогам оценки достижения значений показателей результативности деятельности</t>
  </si>
  <si>
    <r>
      <rPr>
        <b/>
        <sz val="9"/>
        <rFont val="Times New Roman"/>
        <family val="1"/>
        <charset val="204"/>
      </rPr>
      <t>Значение в числителе</t>
    </r>
    <r>
      <rPr>
        <sz val="9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</si>
  <si>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rFont val="Times New Roman"/>
        <family val="1"/>
        <charset val="204"/>
      </rPr>
      <t>Значение в знаменателе</t>
    </r>
    <r>
      <rPr>
        <sz val="9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</si>
  <si>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rFont val="Times New Roman"/>
        <family val="1"/>
        <charset val="204"/>
      </rPr>
      <t>Фактически достигнутое значение</t>
    </r>
    <r>
      <rPr>
        <sz val="9"/>
        <rFont val="Times New Roman"/>
        <family val="1"/>
        <charset val="204"/>
      </rPr>
      <t xml:space="preserve"> показателя 
за анализируемый период, доля</t>
    </r>
  </si>
  <si>
    <r>
      <rPr>
        <b/>
        <sz val="9"/>
        <rFont val="Times New Roman"/>
        <family val="1"/>
        <charset val="204"/>
      </rPr>
      <t>Целевое значение</t>
    </r>
    <r>
      <rPr>
        <sz val="9"/>
        <rFont val="Times New Roman"/>
        <family val="1"/>
        <charset val="204"/>
      </rPr>
      <t xml:space="preserve"> показателя 
на анализируемый период 
(план)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</si>
  <si>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rFont val="Times New Roman"/>
        <family val="1"/>
        <charset val="204"/>
      </rPr>
      <t>На 100 не умножается.</t>
    </r>
    <r>
      <rPr>
        <sz val="9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3" / "графа 4")</t>
    </r>
  </si>
  <si>
    <r>
      <t xml:space="preserve">Число с округлением не более 9 знаков после запятой в формате, сопоставимом с графой 5. </t>
    </r>
    <r>
      <rPr>
        <u/>
        <sz val="9"/>
        <rFont val="Times New Roman"/>
        <family val="1"/>
        <charset val="204"/>
      </rPr>
      <t>На 100 не умножается.</t>
    </r>
    <r>
      <rPr>
        <sz val="9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</t>
    </r>
  </si>
  <si>
    <r>
      <t xml:space="preserve">Число с округлением не более 9 знаков после запятой. 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5"/"графа 16" * 100 - 100)</t>
    </r>
  </si>
  <si>
    <r>
      <t xml:space="preserve">Число с округлением не более 9 знаков после запятой. На 100 не умножается.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5" / "графа 6" )</t>
    </r>
  </si>
  <si>
    <r>
      <t xml:space="preserve">0 - не применяется, 
1 - применяется, 
2 - применяется, но исключен из числа применяемых показателей при расчете доли достигнутых показателей в связи со значением "0" в столбце 4
</t>
    </r>
    <r>
      <rPr>
        <b/>
        <sz val="9"/>
        <rFont val="Times New Roman"/>
        <family val="1"/>
        <charset val="204"/>
      </rPr>
      <t>Обязательно для заполнения всегда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</si>
  <si>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rFont val="Times New Roman"/>
        <family val="1"/>
        <charset val="204"/>
      </rPr>
      <t>На 100 не умножается.</t>
    </r>
    <r>
      <rPr>
        <sz val="9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14"/"графа 15")</t>
    </r>
  </si>
  <si>
    <r>
      <rPr>
        <b/>
        <sz val="9"/>
        <color theme="1"/>
        <rFont val="Times New Roman"/>
        <family val="1"/>
        <charset val="204"/>
      </rPr>
      <t>Значение в числителе</t>
    </r>
    <r>
      <rPr>
        <sz val="9"/>
        <color theme="1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</si>
  <si>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Times New Roman"/>
        <family val="1"/>
        <charset val="204"/>
      </rPr>
      <t>Значение в знаменателе</t>
    </r>
    <r>
      <rPr>
        <sz val="9"/>
        <color theme="1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</si>
  <si>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Times New Roman"/>
        <family val="1"/>
        <charset val="204"/>
      </rPr>
      <t>Фактически достигнутое значение</t>
    </r>
    <r>
      <rPr>
        <sz val="9"/>
        <color theme="1"/>
        <rFont val="Times New Roman"/>
        <family val="1"/>
        <charset val="204"/>
      </rPr>
      <t xml:space="preserve"> показателя 
за анализируемый период, доля</t>
    </r>
  </si>
  <si>
    <r>
      <rPr>
        <b/>
        <sz val="9"/>
        <color theme="1"/>
        <rFont val="Times New Roman"/>
        <family val="1"/>
        <charset val="204"/>
      </rPr>
      <t>Целевое значение</t>
    </r>
    <r>
      <rPr>
        <sz val="9"/>
        <color theme="1"/>
        <rFont val="Times New Roman"/>
        <family val="1"/>
        <charset val="204"/>
      </rPr>
      <t xml:space="preserve"> показателя 
на анализируемый период 
(план)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</si>
  <si>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Times New Roman"/>
        <family val="1"/>
        <charset val="204"/>
      </rPr>
      <t>На 100 не умножается.</t>
    </r>
    <r>
      <rPr>
        <sz val="9"/>
        <color theme="1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3" / "графа 4")</t>
    </r>
  </si>
  <si>
    <r>
      <t xml:space="preserve">Число с округлением не более 9 знаков после запятой в формате, сопоставимом с графой 5. </t>
    </r>
    <r>
      <rPr>
        <u/>
        <sz val="9"/>
        <color theme="1"/>
        <rFont val="Times New Roman"/>
        <family val="1"/>
        <charset val="204"/>
      </rPr>
      <t>На 100 не умножается.</t>
    </r>
    <r>
      <rPr>
        <sz val="9"/>
        <color theme="1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</t>
    </r>
  </si>
  <si>
    <r>
      <t xml:space="preserve">Число с округлением не более 9 знаков после запятой. 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5"/"графа 16" * 100 - 100)</t>
    </r>
  </si>
  <si>
    <r>
      <t xml:space="preserve">Число с округлением не более 9 знаков после запятой. На 100 не умножается.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5" / "графа 6" )</t>
    </r>
  </si>
  <si>
    <r>
      <t xml:space="preserve">0 - не применяется, 
1 - применяется, 
2 - применяется, но исключен из числа применяемых показателей при расчете доли достигнутых показателей в связи со значением "0" в столбце 4
</t>
    </r>
    <r>
      <rPr>
        <b/>
        <sz val="9"/>
        <color theme="1"/>
        <rFont val="Times New Roman"/>
        <family val="1"/>
        <charset val="204"/>
      </rPr>
      <t>Обязательно для заполнения всегда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</si>
  <si>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Times New Roman"/>
        <family val="1"/>
        <charset val="204"/>
      </rPr>
      <t>На 100 не умножается.</t>
    </r>
    <r>
      <rPr>
        <sz val="9"/>
        <color theme="1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14"/"графа 15")</t>
    </r>
  </si>
  <si>
    <t>ГБУЗ "Магаданская областная больница" (все районы без г. Магадана)</t>
  </si>
  <si>
    <t>ГБУЗ "Магаданский областной центр охраны материнства и детства" (дети г. Магадана)</t>
  </si>
  <si>
    <t>МОГБУЗ "Городская поликлиника" (взрослые г. Магадан)</t>
  </si>
  <si>
    <t>Итоговый размер понижающего коэффициента, применяемый в расчете объема стим. выплат</t>
  </si>
  <si>
    <t>объем средств, используемый при распределении 
70 процентов от объема средств на стимулирование медицинских организаций за j-ый период, в расчете на 1 прикрепленное лицо, рублей (до корректировки с учетом понижающих коэффициентов) ;</t>
  </si>
  <si>
    <t>объем средств, используемый при распределении 
70 процентов от объема средств на стимулирование медицинских организаций за j-ый период, в расчете на 1 прикрепленное лицо, рублей (с учетом понижающих коэффициентов) ;</t>
  </si>
  <si>
    <t>2. Так как в II и III уровень по подушевым нормативам по профилям "Акушерство и гинкология" и "Стоматология" попали по одной медицинской организации, к ним при оценке достижения значений показателей результативности деятельности дополнительные критерии не применяются</t>
  </si>
  <si>
    <r>
      <t>2.2.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"Магаданский областной центр охраны материнства и детства"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30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</si>
  <si>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t>1.1. медицинские организации II и III группы</t>
  </si>
  <si>
    <r>
      <t>Объем средств, направляемый в медицинские организации по итогам оценки достижения значений показателей результативности деятельности (</t>
    </r>
    <r>
      <rPr>
        <b/>
        <sz val="18"/>
        <color theme="1"/>
        <rFont val="Times New Roman"/>
        <family val="1"/>
        <charset val="204"/>
      </rPr>
      <t>ОС</t>
    </r>
    <r>
      <rPr>
        <b/>
        <sz val="12"/>
        <color theme="1"/>
        <rFont val="Times New Roman"/>
        <family val="1"/>
        <charset val="204"/>
      </rPr>
      <t>РД</t>
    </r>
    <r>
      <rPr>
        <b/>
        <sz val="16"/>
        <color theme="1"/>
        <rFont val="Times New Roman"/>
        <family val="1"/>
        <charset val="204"/>
      </rPr>
      <t xml:space="preserve">) </t>
    </r>
  </si>
  <si>
    <r>
      <t>ВСЕГО (</t>
    </r>
    <r>
      <rPr>
        <b/>
        <sz val="18"/>
        <color theme="1"/>
        <rFont val="Times New Roman"/>
        <family val="1"/>
        <charset val="204"/>
      </rPr>
      <t>ОС</t>
    </r>
    <r>
      <rPr>
        <b/>
        <sz val="10"/>
        <color theme="1"/>
        <rFont val="Times New Roman"/>
        <family val="1"/>
        <charset val="204"/>
      </rPr>
      <t>РД</t>
    </r>
    <r>
      <rPr>
        <b/>
        <sz val="12"/>
        <color theme="1"/>
        <rFont val="Times New Roman"/>
        <family val="1"/>
        <charset val="204"/>
      </rPr>
      <t xml:space="preserve">) </t>
    </r>
  </si>
  <si>
    <t>ПНФ зпо профилю "Акушерство и гинекология"</t>
  </si>
  <si>
    <t>ПНФ по профилю "Стоматология"</t>
  </si>
  <si>
    <t>за 2024 год</t>
  </si>
  <si>
    <t xml:space="preserve">Мониторинг достижения значений показателей результативности деятельности за декабрь 2023 – ноябрь 2024 года </t>
  </si>
  <si>
    <t>№ 17-03 от 19.12.2024</t>
  </si>
  <si>
    <t>декабрь 2022 года -ноябрь 2023 года</t>
  </si>
  <si>
    <t xml:space="preserve">декабрь 2023 года -ноябрь 2024 года </t>
  </si>
  <si>
    <t>количество   баллов, набранных   в   j-м   периоде   медицинской организацией III группы.</t>
  </si>
  <si>
    <r>
      <t>2.1.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"МАГАДАНСКИЙ ОБЛАСТНОЙ ЦЕНТР ОХРАНЫ МАТЕРИНСТВА И ДЕТСТВА"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30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</si>
  <si>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r>
      <t>2.2.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"ГОРОДСКАЯ ПОЛИКЛИНИКА"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30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</si>
  <si>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t>за 12 месяцев (декабрь 2023 года-ноябрь 2024 года)</t>
  </si>
  <si>
    <t>ПРИЛОЖЕНИЕ № 4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</si>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</sst>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0.000000000"/>
    <numFmt numFmtId="165" formatCode="#,##0.000000000"/>
    <numFmt numFmtId="166" formatCode="0.0%"/>
    <numFmt numFmtId="167" formatCode="0.0"/>
    <numFmt numFmtId="168" formatCode="0.0000"/>
    <numFmt numFmtId="169" formatCode="#,##0.0000"/>
    <numFmt numFmtId="170" formatCode="#,##0.00000"/>
    <numFmt numFmtId="171" formatCode="0.00000000"/>
    <numFmt numFmtId="172" formatCode="0.000"/>
    <numFmt numFmtId="173" formatCode="#,##0.000"/>
    <numFmt numFmtId="175" formatCode="0.000000"/>
    <numFmt numFmtId="185" formatCode="##0.000000"/>
  </numFmts>
  <fonts count="8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rgb="FF00B0F0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rgb="FF00B0F0"/>
      <name val="Calibri"/>
      <family val="2"/>
      <charset val="204"/>
      <scheme val="minor"/>
    </font>
    <font>
      <u/>
      <sz val="9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rgb="FF0000FF"/>
      <name val="Calibri"/>
      <family val="2"/>
      <charset val="204"/>
      <scheme val="minor"/>
    </font>
    <font>
      <b/>
      <sz val="9"/>
      <color rgb="FF0000FF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u/>
      <sz val="13"/>
      <name val="Times New Roman"/>
      <family val="1"/>
      <charset val="204"/>
    </font>
    <font>
      <i/>
      <u/>
      <sz val="13"/>
      <name val="Times New Roman"/>
      <family val="1"/>
      <charset val="204"/>
    </font>
    <font>
      <sz val="14"/>
      <color rgb="FF0000FF"/>
      <name val="Calibri"/>
      <family val="2"/>
      <scheme val="minor"/>
    </font>
    <font>
      <b/>
      <sz val="13"/>
      <color rgb="FF0000F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b/>
      <u/>
      <sz val="16"/>
      <color rgb="FF0000FF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9"/>
      <color rgb="FF0000FF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9"/>
      <color rgb="FF00B0F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1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22" fillId="0" borderId="0"/>
  </cellStyleXfs>
  <cellXfs count="47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top" wrapText="1"/>
    </xf>
    <xf numFmtId="0" fontId="5" fillId="2" borderId="2" xfId="0" applyFont="1" applyFill="1" applyBorder="1"/>
    <xf numFmtId="0" fontId="11" fillId="2" borderId="2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vertical="center"/>
    </xf>
    <xf numFmtId="0" fontId="11" fillId="3" borderId="2" xfId="0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/>
    <xf numFmtId="0" fontId="5" fillId="0" borderId="9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top" wrapText="1"/>
    </xf>
    <xf numFmtId="0" fontId="0" fillId="5" borderId="0" xfId="0" applyFill="1"/>
    <xf numFmtId="0" fontId="10" fillId="5" borderId="1" xfId="0" applyFont="1" applyFill="1" applyBorder="1" applyAlignment="1">
      <alignment horizontal="justify" vertical="top" wrapText="1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vertical="top" wrapText="1"/>
    </xf>
    <xf numFmtId="2" fontId="5" fillId="6" borderId="1" xfId="0" applyNumberFormat="1" applyFont="1" applyFill="1" applyBorder="1" applyAlignment="1">
      <alignment horizontal="center" vertical="center"/>
    </xf>
    <xf numFmtId="0" fontId="0" fillId="6" borderId="0" xfId="0" applyFill="1"/>
    <xf numFmtId="164" fontId="5" fillId="0" borderId="1" xfId="0" applyNumberFormat="1" applyFont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2" fontId="18" fillId="6" borderId="1" xfId="0" applyNumberFormat="1" applyFont="1" applyFill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18" fillId="0" borderId="0" xfId="0" applyFont="1"/>
    <xf numFmtId="0" fontId="17" fillId="0" borderId="0" xfId="0" applyFont="1"/>
    <xf numFmtId="0" fontId="17" fillId="0" borderId="1" xfId="0" applyFont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164" fontId="19" fillId="6" borderId="1" xfId="0" applyNumberFormat="1" applyFont="1" applyFill="1" applyBorder="1" applyAlignment="1">
      <alignment horizontal="center" vertical="center"/>
    </xf>
    <xf numFmtId="2" fontId="19" fillId="6" borderId="1" xfId="0" applyNumberFormat="1" applyFont="1" applyFill="1" applyBorder="1" applyAlignment="1">
      <alignment horizontal="center" vertical="center"/>
    </xf>
    <xf numFmtId="2" fontId="20" fillId="6" borderId="1" xfId="0" applyNumberFormat="1" applyFont="1" applyFill="1" applyBorder="1" applyAlignment="1">
      <alignment horizontal="center" vertical="center"/>
    </xf>
    <xf numFmtId="0" fontId="19" fillId="6" borderId="7" xfId="0" applyFont="1" applyFill="1" applyBorder="1" applyAlignment="1">
      <alignment horizontal="center" vertical="center"/>
    </xf>
    <xf numFmtId="0" fontId="19" fillId="6" borderId="6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65" fontId="19" fillId="0" borderId="1" xfId="1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165" fontId="19" fillId="5" borderId="1" xfId="0" applyNumberFormat="1" applyFont="1" applyFill="1" applyBorder="1" applyAlignment="1">
      <alignment horizontal="center" vertical="center"/>
    </xf>
    <xf numFmtId="164" fontId="19" fillId="5" borderId="1" xfId="0" applyNumberFormat="1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165" fontId="19" fillId="6" borderId="1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/>
    </xf>
    <xf numFmtId="0" fontId="23" fillId="0" borderId="0" xfId="2" applyFont="1"/>
    <xf numFmtId="0" fontId="24" fillId="0" borderId="0" xfId="2" applyFont="1" applyAlignment="1">
      <alignment horizontal="right"/>
    </xf>
    <xf numFmtId="0" fontId="24" fillId="0" borderId="0" xfId="2" applyFont="1" applyAlignment="1">
      <alignment horizontal="center"/>
    </xf>
    <xf numFmtId="0" fontId="24" fillId="0" borderId="1" xfId="2" applyFont="1" applyBorder="1" applyAlignment="1">
      <alignment horizontal="center" vertical="center" wrapText="1"/>
    </xf>
    <xf numFmtId="0" fontId="23" fillId="0" borderId="1" xfId="2" applyFont="1" applyBorder="1" applyAlignment="1">
      <alignment vertical="center" wrapText="1"/>
    </xf>
    <xf numFmtId="166" fontId="23" fillId="0" borderId="1" xfId="2" applyNumberFormat="1" applyFont="1" applyBorder="1"/>
    <xf numFmtId="0" fontId="24" fillId="0" borderId="1" xfId="2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center" vertical="center"/>
    </xf>
    <xf numFmtId="0" fontId="29" fillId="6" borderId="1" xfId="0" applyFont="1" applyFill="1" applyBorder="1" applyAlignment="1">
      <alignment horizontal="center" vertical="center"/>
    </xf>
    <xf numFmtId="0" fontId="29" fillId="6" borderId="16" xfId="0" applyFont="1" applyFill="1" applyBorder="1" applyAlignment="1">
      <alignment horizontal="center" vertical="center"/>
    </xf>
    <xf numFmtId="0" fontId="24" fillId="0" borderId="1" xfId="2" applyFont="1" applyBorder="1" applyAlignment="1">
      <alignment horizontal="center" vertical="center"/>
    </xf>
    <xf numFmtId="0" fontId="23" fillId="0" borderId="0" xfId="2" applyFont="1" applyAlignment="1">
      <alignment horizontal="right"/>
    </xf>
    <xf numFmtId="0" fontId="31" fillId="0" borderId="0" xfId="0" applyFont="1" applyAlignment="1">
      <alignment horizontal="right"/>
    </xf>
    <xf numFmtId="0" fontId="33" fillId="0" borderId="1" xfId="0" applyFont="1" applyBorder="1" applyAlignment="1">
      <alignment horizontal="justify" vertical="top" wrapText="1"/>
    </xf>
    <xf numFmtId="0" fontId="33" fillId="5" borderId="1" xfId="0" applyFont="1" applyFill="1" applyBorder="1" applyAlignment="1">
      <alignment horizontal="justify" vertical="top" wrapText="1"/>
    </xf>
    <xf numFmtId="0" fontId="34" fillId="0" borderId="0" xfId="0" applyFont="1" applyAlignment="1">
      <alignment wrapText="1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37" fillId="6" borderId="1" xfId="0" applyFont="1" applyFill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37" fillId="5" borderId="1" xfId="0" applyFont="1" applyFill="1" applyBorder="1" applyAlignment="1">
      <alignment vertical="top" wrapText="1"/>
    </xf>
    <xf numFmtId="0" fontId="38" fillId="2" borderId="2" xfId="0" applyFont="1" applyFill="1" applyBorder="1" applyAlignment="1">
      <alignment horizontal="center" vertical="top" wrapText="1"/>
    </xf>
    <xf numFmtId="0" fontId="38" fillId="3" borderId="2" xfId="0" applyFont="1" applyFill="1" applyBorder="1" applyAlignment="1">
      <alignment horizontal="center" vertical="top" wrapText="1"/>
    </xf>
    <xf numFmtId="0" fontId="39" fillId="0" borderId="1" xfId="0" applyFont="1" applyBorder="1" applyAlignment="1">
      <alignment vertical="top" wrapText="1"/>
    </xf>
    <xf numFmtId="0" fontId="39" fillId="0" borderId="0" xfId="0" applyFont="1" applyAlignment="1">
      <alignment wrapText="1"/>
    </xf>
    <xf numFmtId="0" fontId="24" fillId="4" borderId="0" xfId="2" applyFont="1" applyFill="1" applyAlignment="1">
      <alignment horizontal="right"/>
    </xf>
    <xf numFmtId="0" fontId="23" fillId="4" borderId="0" xfId="2" applyFont="1" applyFill="1" applyAlignment="1">
      <alignment horizontal="right"/>
    </xf>
    <xf numFmtId="0" fontId="40" fillId="4" borderId="0" xfId="0" applyFont="1" applyFill="1"/>
    <xf numFmtId="0" fontId="24" fillId="0" borderId="1" xfId="2" applyFont="1" applyBorder="1" applyAlignment="1">
      <alignment horizontal="center" vertical="center" wrapText="1"/>
    </xf>
    <xf numFmtId="0" fontId="41" fillId="0" borderId="0" xfId="2" applyFont="1"/>
    <xf numFmtId="0" fontId="23" fillId="0" borderId="1" xfId="2" applyFont="1" applyBorder="1"/>
    <xf numFmtId="0" fontId="42" fillId="0" borderId="0" xfId="2" applyFont="1"/>
    <xf numFmtId="0" fontId="43" fillId="8" borderId="0" xfId="2" applyFont="1" applyFill="1" applyAlignment="1">
      <alignment horizontal="center" vertical="center" wrapText="1"/>
    </xf>
    <xf numFmtId="0" fontId="42" fillId="0" borderId="0" xfId="2" applyFont="1" applyAlignment="1">
      <alignment horizontal="center" wrapText="1"/>
    </xf>
    <xf numFmtId="0" fontId="22" fillId="0" borderId="0" xfId="2"/>
    <xf numFmtId="0" fontId="42" fillId="0" borderId="0" xfId="2" applyFont="1" applyAlignment="1">
      <alignment horizontal="center"/>
    </xf>
    <xf numFmtId="4" fontId="42" fillId="0" borderId="0" xfId="2" applyNumberFormat="1" applyFont="1"/>
    <xf numFmtId="4" fontId="46" fillId="0" borderId="0" xfId="2" applyNumberFormat="1" applyFont="1"/>
    <xf numFmtId="0" fontId="47" fillId="0" borderId="0" xfId="2" applyFont="1"/>
    <xf numFmtId="0" fontId="49" fillId="0" borderId="0" xfId="2" applyFont="1"/>
    <xf numFmtId="1" fontId="42" fillId="0" borderId="0" xfId="2" applyNumberFormat="1" applyFont="1"/>
    <xf numFmtId="0" fontId="48" fillId="0" borderId="0" xfId="2" applyFont="1"/>
    <xf numFmtId="0" fontId="40" fillId="0" borderId="0" xfId="2" applyFont="1"/>
    <xf numFmtId="0" fontId="52" fillId="0" borderId="0" xfId="2" applyFont="1" applyAlignment="1">
      <alignment vertical="center" wrapText="1"/>
    </xf>
    <xf numFmtId="0" fontId="22" fillId="0" borderId="0" xfId="2" applyFont="1"/>
    <xf numFmtId="0" fontId="42" fillId="0" borderId="0" xfId="2" applyFont="1" applyAlignment="1">
      <alignment horizontal="left" vertical="center" wrapText="1"/>
    </xf>
    <xf numFmtId="0" fontId="40" fillId="0" borderId="0" xfId="2" applyFont="1" applyAlignment="1">
      <alignment horizontal="center"/>
    </xf>
    <xf numFmtId="0" fontId="51" fillId="0" borderId="0" xfId="2" applyFont="1" applyAlignment="1">
      <alignment horizontal="center" wrapText="1"/>
    </xf>
    <xf numFmtId="0" fontId="51" fillId="0" borderId="0" xfId="2" applyFont="1" applyAlignment="1">
      <alignment horizontal="center"/>
    </xf>
    <xf numFmtId="4" fontId="46" fillId="8" borderId="0" xfId="2" applyNumberFormat="1" applyFont="1" applyFill="1"/>
    <xf numFmtId="0" fontId="42" fillId="8" borderId="0" xfId="2" applyFont="1" applyFill="1"/>
    <xf numFmtId="168" fontId="47" fillId="0" borderId="0" xfId="2" applyNumberFormat="1" applyFont="1"/>
    <xf numFmtId="4" fontId="53" fillId="0" borderId="0" xfId="2" applyNumberFormat="1" applyFont="1"/>
    <xf numFmtId="4" fontId="50" fillId="5" borderId="0" xfId="2" applyNumberFormat="1" applyFont="1" applyFill="1"/>
    <xf numFmtId="4" fontId="44" fillId="5" borderId="0" xfId="2" applyNumberFormat="1" applyFont="1" applyFill="1"/>
    <xf numFmtId="0" fontId="52" fillId="4" borderId="0" xfId="2" applyFont="1" applyFill="1" applyAlignment="1">
      <alignment vertical="center" wrapText="1"/>
    </xf>
    <xf numFmtId="0" fontId="42" fillId="4" borderId="0" xfId="2" applyFont="1" applyFill="1" applyAlignment="1">
      <alignment horizontal="left" vertical="center" wrapText="1"/>
    </xf>
    <xf numFmtId="4" fontId="50" fillId="4" borderId="0" xfId="2" applyNumberFormat="1" applyFont="1" applyFill="1"/>
    <xf numFmtId="0" fontId="42" fillId="4" borderId="0" xfId="2" applyFont="1" applyFill="1"/>
    <xf numFmtId="4" fontId="42" fillId="4" borderId="0" xfId="2" applyNumberFormat="1" applyFont="1" applyFill="1"/>
    <xf numFmtId="168" fontId="49" fillId="0" borderId="0" xfId="2" applyNumberFormat="1" applyFont="1"/>
    <xf numFmtId="169" fontId="53" fillId="0" borderId="0" xfId="2" applyNumberFormat="1" applyFont="1"/>
    <xf numFmtId="0" fontId="34" fillId="0" borderId="0" xfId="0" applyFont="1"/>
    <xf numFmtId="0" fontId="57" fillId="0" borderId="0" xfId="0" applyFont="1" applyAlignment="1">
      <alignment vertical="center" wrapText="1"/>
    </xf>
    <xf numFmtId="0" fontId="57" fillId="0" borderId="1" xfId="0" applyFont="1" applyBorder="1" applyAlignment="1">
      <alignment vertical="center" wrapText="1"/>
    </xf>
    <xf numFmtId="0" fontId="57" fillId="0" borderId="1" xfId="0" applyFont="1" applyBorder="1" applyAlignment="1">
      <alignment horizontal="center" vertical="center" wrapText="1"/>
    </xf>
    <xf numFmtId="4" fontId="58" fillId="0" borderId="0" xfId="2" applyNumberFormat="1" applyFont="1"/>
    <xf numFmtId="0" fontId="58" fillId="0" borderId="0" xfId="2" applyFont="1"/>
    <xf numFmtId="168" fontId="58" fillId="0" borderId="0" xfId="2" applyNumberFormat="1" applyFont="1"/>
    <xf numFmtId="0" fontId="57" fillId="0" borderId="15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center" wrapText="1"/>
    </xf>
    <xf numFmtId="0" fontId="60" fillId="0" borderId="0" xfId="2" applyFont="1"/>
    <xf numFmtId="0" fontId="46" fillId="0" borderId="0" xfId="2" applyFont="1"/>
    <xf numFmtId="0" fontId="31" fillId="0" borderId="1" xfId="0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40" fillId="0" borderId="0" xfId="2" applyFont="1" applyAlignment="1">
      <alignment horizontal="right"/>
    </xf>
    <xf numFmtId="0" fontId="63" fillId="0" borderId="0" xfId="2" applyFont="1"/>
    <xf numFmtId="0" fontId="64" fillId="0" borderId="0" xfId="2" applyFont="1"/>
    <xf numFmtId="1" fontId="63" fillId="0" borderId="0" xfId="2" applyNumberFormat="1" applyFont="1"/>
    <xf numFmtId="1" fontId="64" fillId="0" borderId="0" xfId="2" applyNumberFormat="1" applyFont="1"/>
    <xf numFmtId="4" fontId="31" fillId="0" borderId="0" xfId="0" applyNumberFormat="1" applyFont="1" applyAlignment="1">
      <alignment vertical="center" wrapText="1"/>
    </xf>
    <xf numFmtId="1" fontId="64" fillId="4" borderId="0" xfId="2" applyNumberFormat="1" applyFont="1" applyFill="1" applyAlignment="1">
      <alignment horizontal="center"/>
    </xf>
    <xf numFmtId="1" fontId="64" fillId="0" borderId="0" xfId="2" applyNumberFormat="1" applyFont="1" applyAlignment="1">
      <alignment horizontal="center"/>
    </xf>
    <xf numFmtId="0" fontId="63" fillId="0" borderId="0" xfId="2" applyFont="1" applyAlignment="1">
      <alignment horizontal="center"/>
    </xf>
    <xf numFmtId="0" fontId="64" fillId="0" borderId="0" xfId="2" applyFont="1" applyAlignment="1">
      <alignment horizontal="center"/>
    </xf>
    <xf numFmtId="0" fontId="34" fillId="0" borderId="0" xfId="0" applyFont="1" applyAlignment="1">
      <alignment horizontal="center"/>
    </xf>
    <xf numFmtId="0" fontId="34" fillId="0" borderId="1" xfId="0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/>
    </xf>
    <xf numFmtId="0" fontId="57" fillId="0" borderId="13" xfId="0" applyFont="1" applyBorder="1" applyAlignment="1">
      <alignment horizontal="left" vertical="center" wrapText="1"/>
    </xf>
    <xf numFmtId="0" fontId="52" fillId="4" borderId="0" xfId="0" applyFont="1" applyFill="1" applyAlignment="1">
      <alignment vertical="center"/>
    </xf>
    <xf numFmtId="0" fontId="52" fillId="4" borderId="0" xfId="0" applyFont="1" applyFill="1" applyAlignment="1">
      <alignment wrapText="1"/>
    </xf>
    <xf numFmtId="0" fontId="52" fillId="4" borderId="0" xfId="0" applyFont="1" applyFill="1" applyAlignment="1">
      <alignment horizontal="center" vertical="center"/>
    </xf>
    <xf numFmtId="0" fontId="52" fillId="4" borderId="0" xfId="0" applyFont="1" applyFill="1"/>
    <xf numFmtId="0" fontId="60" fillId="4" borderId="0" xfId="0" applyFont="1" applyFill="1"/>
    <xf numFmtId="0" fontId="35" fillId="4" borderId="0" xfId="0" applyFont="1" applyFill="1" applyAlignment="1">
      <alignment vertical="center"/>
    </xf>
    <xf numFmtId="0" fontId="35" fillId="4" borderId="0" xfId="0" applyFont="1" applyFill="1"/>
    <xf numFmtId="0" fontId="35" fillId="4" borderId="9" xfId="0" applyFont="1" applyFill="1" applyBorder="1" applyAlignment="1">
      <alignment horizontal="center" vertical="center" wrapText="1"/>
    </xf>
    <xf numFmtId="0" fontId="35" fillId="4" borderId="1" xfId="0" applyFont="1" applyFill="1" applyBorder="1" applyAlignment="1">
      <alignment horizontal="center" vertical="center" wrapText="1"/>
    </xf>
    <xf numFmtId="0" fontId="68" fillId="4" borderId="1" xfId="0" applyFont="1" applyFill="1" applyBorder="1" applyAlignment="1">
      <alignment horizontal="center" vertical="center" wrapText="1"/>
    </xf>
    <xf numFmtId="0" fontId="35" fillId="4" borderId="7" xfId="0" applyFont="1" applyFill="1" applyBorder="1" applyAlignment="1">
      <alignment horizontal="center" vertical="center" wrapText="1"/>
    </xf>
    <xf numFmtId="0" fontId="35" fillId="4" borderId="6" xfId="0" applyFont="1" applyFill="1" applyBorder="1" applyAlignment="1">
      <alignment horizontal="center" vertical="center" wrapText="1"/>
    </xf>
    <xf numFmtId="0" fontId="60" fillId="4" borderId="1" xfId="0" applyFont="1" applyFill="1" applyBorder="1" applyAlignment="1">
      <alignment horizontal="center" vertical="center" wrapText="1"/>
    </xf>
    <xf numFmtId="0" fontId="60" fillId="4" borderId="6" xfId="0" applyFont="1" applyFill="1" applyBorder="1" applyAlignment="1">
      <alignment horizontal="center" vertical="center" wrapText="1"/>
    </xf>
    <xf numFmtId="0" fontId="39" fillId="6" borderId="1" xfId="0" applyFont="1" applyFill="1" applyBorder="1" applyAlignment="1">
      <alignment horizontal="center" vertical="center"/>
    </xf>
    <xf numFmtId="0" fontId="71" fillId="6" borderId="6" xfId="0" applyFont="1" applyFill="1" applyBorder="1" applyAlignment="1">
      <alignment horizontal="center" vertical="center"/>
    </xf>
    <xf numFmtId="0" fontId="71" fillId="6" borderId="1" xfId="0" applyFont="1" applyFill="1" applyBorder="1" applyAlignment="1">
      <alignment horizontal="center" vertical="center"/>
    </xf>
    <xf numFmtId="164" fontId="57" fillId="6" borderId="1" xfId="0" applyNumberFormat="1" applyFont="1" applyFill="1" applyBorder="1" applyAlignment="1">
      <alignment horizontal="center" vertical="center"/>
    </xf>
    <xf numFmtId="2" fontId="57" fillId="6" borderId="1" xfId="0" applyNumberFormat="1" applyFont="1" applyFill="1" applyBorder="1" applyAlignment="1">
      <alignment horizontal="center" vertical="center"/>
    </xf>
    <xf numFmtId="167" fontId="44" fillId="6" borderId="1" xfId="0" applyNumberFormat="1" applyFont="1" applyFill="1" applyBorder="1" applyAlignment="1">
      <alignment horizontal="center" vertical="center"/>
    </xf>
    <xf numFmtId="0" fontId="57" fillId="6" borderId="1" xfId="0" applyFont="1" applyFill="1" applyBorder="1" applyAlignment="1">
      <alignment horizontal="center" vertical="center"/>
    </xf>
    <xf numFmtId="0" fontId="57" fillId="6" borderId="7" xfId="0" applyFont="1" applyFill="1" applyBorder="1" applyAlignment="1">
      <alignment horizontal="center" vertical="center"/>
    </xf>
    <xf numFmtId="0" fontId="45" fillId="6" borderId="1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57" fillId="0" borderId="6" xfId="0" applyFont="1" applyBorder="1" applyAlignment="1">
      <alignment horizontal="center" vertical="center"/>
    </xf>
    <xf numFmtId="0" fontId="57" fillId="0" borderId="1" xfId="0" applyFont="1" applyBorder="1" applyAlignment="1">
      <alignment horizontal="center" vertical="center"/>
    </xf>
    <xf numFmtId="165" fontId="57" fillId="0" borderId="1" xfId="1" applyNumberFormat="1" applyFont="1" applyBorder="1" applyAlignment="1">
      <alignment horizontal="center" vertical="center"/>
    </xf>
    <xf numFmtId="2" fontId="57" fillId="0" borderId="1" xfId="0" applyNumberFormat="1" applyFont="1" applyBorder="1" applyAlignment="1">
      <alignment horizontal="center" vertical="center"/>
    </xf>
    <xf numFmtId="164" fontId="57" fillId="0" borderId="1" xfId="0" applyNumberFormat="1" applyFont="1" applyBorder="1" applyAlignment="1">
      <alignment horizontal="center" vertical="center"/>
    </xf>
    <xf numFmtId="167" fontId="45" fillId="0" borderId="1" xfId="0" applyNumberFormat="1" applyFont="1" applyBorder="1" applyAlignment="1">
      <alignment horizontal="center" vertical="center"/>
    </xf>
    <xf numFmtId="0" fontId="57" fillId="4" borderId="1" xfId="0" applyFont="1" applyFill="1" applyBorder="1" applyAlignment="1">
      <alignment horizontal="center" vertical="center"/>
    </xf>
    <xf numFmtId="0" fontId="57" fillId="0" borderId="7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165" fontId="57" fillId="4" borderId="1" xfId="0" applyNumberFormat="1" applyFont="1" applyFill="1" applyBorder="1" applyAlignment="1">
      <alignment horizontal="center" vertical="center"/>
    </xf>
    <xf numFmtId="0" fontId="45" fillId="4" borderId="1" xfId="0" applyFont="1" applyFill="1" applyBorder="1" applyAlignment="1">
      <alignment horizontal="center" vertical="center"/>
    </xf>
    <xf numFmtId="165" fontId="57" fillId="0" borderId="1" xfId="0" applyNumberFormat="1" applyFont="1" applyBorder="1" applyAlignment="1">
      <alignment horizontal="center" vertical="center"/>
    </xf>
    <xf numFmtId="0" fontId="39" fillId="5" borderId="1" xfId="0" applyFont="1" applyFill="1" applyBorder="1" applyAlignment="1">
      <alignment horizontal="center" vertical="center"/>
    </xf>
    <xf numFmtId="165" fontId="57" fillId="5" borderId="1" xfId="0" applyNumberFormat="1" applyFont="1" applyFill="1" applyBorder="1" applyAlignment="1">
      <alignment horizontal="center" vertical="center"/>
    </xf>
    <xf numFmtId="0" fontId="57" fillId="5" borderId="1" xfId="0" applyFont="1" applyFill="1" applyBorder="1" applyAlignment="1">
      <alignment horizontal="center" vertical="center"/>
    </xf>
    <xf numFmtId="164" fontId="57" fillId="5" borderId="1" xfId="0" applyNumberFormat="1" applyFont="1" applyFill="1" applyBorder="1" applyAlignment="1">
      <alignment horizontal="center" vertical="center"/>
    </xf>
    <xf numFmtId="0" fontId="57" fillId="5" borderId="7" xfId="0" applyFont="1" applyFill="1" applyBorder="1" applyAlignment="1">
      <alignment horizontal="center" vertical="center"/>
    </xf>
    <xf numFmtId="0" fontId="39" fillId="2" borderId="2" xfId="0" applyFont="1" applyFill="1" applyBorder="1"/>
    <xf numFmtId="0" fontId="72" fillId="0" borderId="1" xfId="0" applyFont="1" applyBorder="1" applyAlignment="1">
      <alignment horizontal="center" vertical="center"/>
    </xf>
    <xf numFmtId="0" fontId="67" fillId="4" borderId="0" xfId="0" applyFont="1" applyFill="1"/>
    <xf numFmtId="166" fontId="67" fillId="4" borderId="0" xfId="0" applyNumberFormat="1" applyFont="1" applyFill="1"/>
    <xf numFmtId="0" fontId="71" fillId="5" borderId="6" xfId="0" applyFont="1" applyFill="1" applyBorder="1" applyAlignment="1">
      <alignment horizontal="center" vertical="center"/>
    </xf>
    <xf numFmtId="0" fontId="71" fillId="5" borderId="1" xfId="0" applyFont="1" applyFill="1" applyBorder="1" applyAlignment="1">
      <alignment horizontal="center" vertical="center"/>
    </xf>
    <xf numFmtId="0" fontId="45" fillId="5" borderId="1" xfId="0" applyFont="1" applyFill="1" applyBorder="1" applyAlignment="1">
      <alignment horizontal="center" vertical="center"/>
    </xf>
    <xf numFmtId="0" fontId="39" fillId="3" borderId="2" xfId="0" applyFont="1" applyFill="1" applyBorder="1" applyAlignment="1">
      <alignment vertical="center"/>
    </xf>
    <xf numFmtId="0" fontId="49" fillId="6" borderId="6" xfId="0" applyFont="1" applyFill="1" applyBorder="1" applyAlignment="1">
      <alignment horizontal="center" vertical="center"/>
    </xf>
    <xf numFmtId="0" fontId="49" fillId="6" borderId="1" xfId="0" applyFont="1" applyFill="1" applyBorder="1" applyAlignment="1">
      <alignment horizontal="center" vertical="center"/>
    </xf>
    <xf numFmtId="165" fontId="49" fillId="6" borderId="1" xfId="0" applyNumberFormat="1" applyFont="1" applyFill="1" applyBorder="1" applyAlignment="1">
      <alignment horizontal="center" vertical="center"/>
    </xf>
    <xf numFmtId="0" fontId="73" fillId="6" borderId="1" xfId="0" applyFont="1" applyFill="1" applyBorder="1" applyAlignment="1">
      <alignment horizontal="center" vertical="center"/>
    </xf>
    <xf numFmtId="164" fontId="73" fillId="6" borderId="1" xfId="0" applyNumberFormat="1" applyFont="1" applyFill="1" applyBorder="1" applyAlignment="1">
      <alignment horizontal="center" vertical="center"/>
    </xf>
    <xf numFmtId="0" fontId="44" fillId="6" borderId="1" xfId="0" applyFont="1" applyFill="1" applyBorder="1" applyAlignment="1">
      <alignment horizontal="center" vertical="center"/>
    </xf>
    <xf numFmtId="0" fontId="73" fillId="6" borderId="7" xfId="0" applyFont="1" applyFill="1" applyBorder="1" applyAlignment="1">
      <alignment horizontal="center" vertical="center"/>
    </xf>
    <xf numFmtId="0" fontId="73" fillId="6" borderId="6" xfId="0" applyFont="1" applyFill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  <xf numFmtId="0" fontId="68" fillId="4" borderId="0" xfId="0" applyFont="1" applyFill="1"/>
    <xf numFmtId="0" fontId="35" fillId="4" borderId="0" xfId="0" applyFont="1" applyFill="1" applyAlignment="1">
      <alignment wrapText="1"/>
    </xf>
    <xf numFmtId="0" fontId="66" fillId="4" borderId="0" xfId="0" applyFont="1" applyFill="1"/>
    <xf numFmtId="10" fontId="66" fillId="4" borderId="0" xfId="0" applyNumberFormat="1" applyFont="1" applyFill="1"/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74" fillId="0" borderId="0" xfId="0" applyFont="1"/>
    <xf numFmtId="0" fontId="39" fillId="0" borderId="0" xfId="0" applyFont="1" applyAlignment="1">
      <alignment vertical="center"/>
    </xf>
    <xf numFmtId="0" fontId="39" fillId="0" borderId="0" xfId="0" applyFont="1"/>
    <xf numFmtId="0" fontId="39" fillId="0" borderId="9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75" fillId="0" borderId="1" xfId="0" applyFont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77" fillId="0" borderId="7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75" fillId="4" borderId="1" xfId="0" applyFont="1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74" fillId="0" borderId="6" xfId="0" applyFont="1" applyBorder="1" applyAlignment="1">
      <alignment horizontal="center" vertical="center" wrapText="1"/>
    </xf>
    <xf numFmtId="0" fontId="74" fillId="0" borderId="1" xfId="0" applyFont="1" applyBorder="1" applyAlignment="1">
      <alignment horizontal="center" vertical="center" wrapText="1"/>
    </xf>
    <xf numFmtId="0" fontId="36" fillId="0" borderId="0" xfId="0" applyFont="1"/>
    <xf numFmtId="0" fontId="38" fillId="0" borderId="1" xfId="0" applyFont="1" applyBorder="1" applyAlignment="1">
      <alignment horizontal="center" vertical="top" wrapText="1"/>
    </xf>
    <xf numFmtId="0" fontId="57" fillId="6" borderId="6" xfId="0" applyFont="1" applyFill="1" applyBorder="1" applyAlignment="1">
      <alignment horizontal="center" vertical="center"/>
    </xf>
    <xf numFmtId="165" fontId="57" fillId="6" borderId="1" xfId="0" applyNumberFormat="1" applyFont="1" applyFill="1" applyBorder="1" applyAlignment="1">
      <alignment horizontal="center" vertical="center"/>
    </xf>
    <xf numFmtId="2" fontId="45" fillId="6" borderId="1" xfId="0" applyNumberFormat="1" applyFont="1" applyFill="1" applyBorder="1" applyAlignment="1">
      <alignment horizontal="center" vertical="center"/>
    </xf>
    <xf numFmtId="0" fontId="34" fillId="6" borderId="0" xfId="0" applyFont="1" applyFill="1"/>
    <xf numFmtId="0" fontId="36" fillId="6" borderId="0" xfId="0" applyFont="1" applyFill="1"/>
    <xf numFmtId="2" fontId="45" fillId="0" borderId="1" xfId="0" applyNumberFormat="1" applyFont="1" applyBorder="1" applyAlignment="1">
      <alignment horizontal="center" vertical="center"/>
    </xf>
    <xf numFmtId="0" fontId="57" fillId="5" borderId="6" xfId="0" applyFont="1" applyFill="1" applyBorder="1" applyAlignment="1">
      <alignment horizontal="center" vertical="center"/>
    </xf>
    <xf numFmtId="0" fontId="34" fillId="5" borderId="0" xfId="0" applyFont="1" applyFill="1"/>
    <xf numFmtId="164" fontId="71" fillId="5" borderId="1" xfId="0" applyNumberFormat="1" applyFont="1" applyFill="1" applyBorder="1" applyAlignment="1">
      <alignment horizontal="center" vertical="center"/>
    </xf>
    <xf numFmtId="0" fontId="78" fillId="0" borderId="0" xfId="0" applyFont="1"/>
    <xf numFmtId="166" fontId="78" fillId="0" borderId="0" xfId="0" applyNumberFormat="1" applyFont="1"/>
    <xf numFmtId="0" fontId="75" fillId="0" borderId="1" xfId="0" applyFont="1" applyBorder="1" applyAlignment="1">
      <alignment horizontal="center" vertical="center"/>
    </xf>
    <xf numFmtId="0" fontId="39" fillId="0" borderId="7" xfId="0" applyFont="1" applyBorder="1" applyAlignment="1">
      <alignment horizontal="center" vertical="center"/>
    </xf>
    <xf numFmtId="0" fontId="75" fillId="0" borderId="0" xfId="0" applyFont="1"/>
    <xf numFmtId="0" fontId="44" fillId="7" borderId="0" xfId="0" applyFont="1" applyFill="1"/>
    <xf numFmtId="2" fontId="44" fillId="7" borderId="0" xfId="0" applyNumberFormat="1" applyFont="1" applyFill="1"/>
    <xf numFmtId="10" fontId="44" fillId="7" borderId="0" xfId="0" applyNumberFormat="1" applyFont="1" applyFill="1"/>
    <xf numFmtId="0" fontId="79" fillId="0" borderId="0" xfId="0" applyFont="1"/>
    <xf numFmtId="0" fontId="80" fillId="0" borderId="1" xfId="0" applyFont="1" applyBorder="1" applyAlignment="1">
      <alignment horizontal="center" vertical="center" wrapText="1"/>
    </xf>
    <xf numFmtId="0" fontId="79" fillId="0" borderId="6" xfId="0" applyFont="1" applyBorder="1" applyAlignment="1">
      <alignment horizontal="center" vertical="center" wrapText="1"/>
    </xf>
    <xf numFmtId="2" fontId="73" fillId="6" borderId="1" xfId="0" applyNumberFormat="1" applyFont="1" applyFill="1" applyBorder="1" applyAlignment="1">
      <alignment horizontal="center" vertical="center"/>
    </xf>
    <xf numFmtId="167" fontId="43" fillId="6" borderId="1" xfId="0" applyNumberFormat="1" applyFont="1" applyFill="1" applyBorder="1" applyAlignment="1">
      <alignment horizontal="center" vertical="center"/>
    </xf>
    <xf numFmtId="0" fontId="73" fillId="0" borderId="6" xfId="0" applyFont="1" applyBorder="1" applyAlignment="1">
      <alignment horizontal="center" vertical="center"/>
    </xf>
    <xf numFmtId="0" fontId="73" fillId="0" borderId="1" xfId="0" applyFont="1" applyBorder="1" applyAlignment="1">
      <alignment horizontal="center" vertical="center"/>
    </xf>
    <xf numFmtId="165" fontId="73" fillId="0" borderId="1" xfId="1" applyNumberFormat="1" applyFont="1" applyBorder="1" applyAlignment="1">
      <alignment horizontal="center" vertical="center"/>
    </xf>
    <xf numFmtId="2" fontId="73" fillId="0" borderId="1" xfId="0" applyNumberFormat="1" applyFont="1" applyBorder="1" applyAlignment="1">
      <alignment horizontal="center" vertical="center"/>
    </xf>
    <xf numFmtId="164" fontId="73" fillId="0" borderId="1" xfId="0" applyNumberFormat="1" applyFont="1" applyBorder="1" applyAlignment="1">
      <alignment horizontal="center" vertical="center"/>
    </xf>
    <xf numFmtId="1" fontId="44" fillId="0" borderId="1" xfId="0" applyNumberFormat="1" applyFont="1" applyBorder="1" applyAlignment="1">
      <alignment horizontal="center" vertical="center"/>
    </xf>
    <xf numFmtId="0" fontId="73" fillId="0" borderId="7" xfId="0" applyFont="1" applyBorder="1" applyAlignment="1">
      <alignment horizontal="center" vertical="center"/>
    </xf>
    <xf numFmtId="167" fontId="44" fillId="0" borderId="1" xfId="0" applyNumberFormat="1" applyFont="1" applyBorder="1" applyAlignment="1">
      <alignment horizontal="center" vertical="center"/>
    </xf>
    <xf numFmtId="165" fontId="73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73" fillId="4" borderId="1" xfId="0" applyFont="1" applyFill="1" applyBorder="1" applyAlignment="1">
      <alignment horizontal="center" vertical="center"/>
    </xf>
    <xf numFmtId="0" fontId="73" fillId="5" borderId="6" xfId="0" applyFont="1" applyFill="1" applyBorder="1" applyAlignment="1">
      <alignment horizontal="center" vertical="center"/>
    </xf>
    <xf numFmtId="0" fontId="73" fillId="5" borderId="1" xfId="0" applyFont="1" applyFill="1" applyBorder="1" applyAlignment="1">
      <alignment horizontal="center" vertical="center"/>
    </xf>
    <xf numFmtId="165" fontId="73" fillId="5" borderId="1" xfId="0" applyNumberFormat="1" applyFont="1" applyFill="1" applyBorder="1" applyAlignment="1">
      <alignment horizontal="center" vertical="center"/>
    </xf>
    <xf numFmtId="164" fontId="73" fillId="5" borderId="1" xfId="0" applyNumberFormat="1" applyFont="1" applyFill="1" applyBorder="1" applyAlignment="1">
      <alignment horizontal="center" vertical="center"/>
    </xf>
    <xf numFmtId="0" fontId="44" fillId="5" borderId="1" xfId="0" applyFont="1" applyFill="1" applyBorder="1" applyAlignment="1">
      <alignment horizontal="center" vertical="center"/>
    </xf>
    <xf numFmtId="0" fontId="73" fillId="5" borderId="7" xfId="0" applyFont="1" applyFill="1" applyBorder="1" applyAlignment="1">
      <alignment horizontal="center" vertical="center"/>
    </xf>
    <xf numFmtId="0" fontId="44" fillId="4" borderId="1" xfId="0" applyFont="1" applyFill="1" applyBorder="1" applyAlignment="1">
      <alignment horizontal="center" vertical="center"/>
    </xf>
    <xf numFmtId="0" fontId="73" fillId="4" borderId="6" xfId="0" applyFont="1" applyFill="1" applyBorder="1" applyAlignment="1">
      <alignment horizontal="center" vertical="center"/>
    </xf>
    <xf numFmtId="0" fontId="46" fillId="5" borderId="1" xfId="0" applyFont="1" applyFill="1" applyBorder="1" applyAlignment="1">
      <alignment horizontal="center" vertical="center"/>
    </xf>
    <xf numFmtId="0" fontId="46" fillId="0" borderId="1" xfId="0" applyFont="1" applyBorder="1" applyAlignment="1">
      <alignment horizontal="center" vertical="center"/>
    </xf>
    <xf numFmtId="0" fontId="79" fillId="6" borderId="0" xfId="0" applyFont="1" applyFill="1"/>
    <xf numFmtId="1" fontId="49" fillId="6" borderId="6" xfId="0" applyNumberFormat="1" applyFont="1" applyFill="1" applyBorder="1" applyAlignment="1">
      <alignment horizontal="center" vertical="center"/>
    </xf>
    <xf numFmtId="0" fontId="80" fillId="0" borderId="1" xfId="0" applyFont="1" applyBorder="1" applyAlignment="1">
      <alignment horizontal="center" vertical="center"/>
    </xf>
    <xf numFmtId="0" fontId="46" fillId="7" borderId="0" xfId="0" applyFont="1" applyFill="1"/>
    <xf numFmtId="168" fontId="34" fillId="0" borderId="1" xfId="0" applyNumberFormat="1" applyFont="1" applyBorder="1"/>
    <xf numFmtId="2" fontId="36" fillId="0" borderId="1" xfId="0" applyNumberFormat="1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45" fillId="0" borderId="0" xfId="2" applyFont="1"/>
    <xf numFmtId="0" fontId="64" fillId="4" borderId="0" xfId="2" applyFont="1" applyFill="1" applyAlignment="1">
      <alignment horizontal="center"/>
    </xf>
    <xf numFmtId="0" fontId="44" fillId="0" borderId="0" xfId="2" applyFont="1"/>
    <xf numFmtId="170" fontId="44" fillId="8" borderId="0" xfId="2" applyNumberFormat="1" applyFont="1" applyFill="1"/>
    <xf numFmtId="0" fontId="71" fillId="0" borderId="6" xfId="0" applyFont="1" applyBorder="1" applyAlignment="1">
      <alignment horizontal="center" vertical="center"/>
    </xf>
    <xf numFmtId="0" fontId="71" fillId="0" borderId="1" xfId="0" applyFont="1" applyBorder="1" applyAlignment="1">
      <alignment horizontal="center" vertical="center"/>
    </xf>
    <xf numFmtId="0" fontId="71" fillId="4" borderId="6" xfId="0" applyFont="1" applyFill="1" applyBorder="1" applyAlignment="1">
      <alignment horizontal="center" vertical="center"/>
    </xf>
    <xf numFmtId="0" fontId="71" fillId="4" borderId="1" xfId="0" applyFont="1" applyFill="1" applyBorder="1" applyAlignment="1">
      <alignment horizontal="center" vertical="center"/>
    </xf>
    <xf numFmtId="164" fontId="57" fillId="4" borderId="1" xfId="0" applyNumberFormat="1" applyFont="1" applyFill="1" applyBorder="1" applyAlignment="1">
      <alignment horizontal="center" vertical="center"/>
    </xf>
    <xf numFmtId="0" fontId="71" fillId="5" borderId="16" xfId="0" applyFont="1" applyFill="1" applyBorder="1" applyAlignment="1">
      <alignment horizontal="center" vertical="center"/>
    </xf>
    <xf numFmtId="167" fontId="44" fillId="4" borderId="1" xfId="0" applyNumberFormat="1" applyFont="1" applyFill="1" applyBorder="1" applyAlignment="1">
      <alignment horizontal="center" vertical="center"/>
    </xf>
    <xf numFmtId="167" fontId="44" fillId="5" borderId="1" xfId="0" applyNumberFormat="1" applyFont="1" applyFill="1" applyBorder="1" applyAlignment="1">
      <alignment horizontal="center" vertical="center"/>
    </xf>
    <xf numFmtId="164" fontId="73" fillId="4" borderId="1" xfId="0" applyNumberFormat="1" applyFont="1" applyFill="1" applyBorder="1" applyAlignment="1">
      <alignment horizontal="center" vertical="center"/>
    </xf>
    <xf numFmtId="171" fontId="42" fillId="4" borderId="0" xfId="0" applyNumberFormat="1" applyFont="1" applyFill="1" applyAlignment="1">
      <alignment horizontal="center" vertical="center"/>
    </xf>
    <xf numFmtId="171" fontId="52" fillId="4" borderId="0" xfId="0" applyNumberFormat="1" applyFont="1" applyFill="1" applyAlignment="1">
      <alignment horizontal="center" vertical="center"/>
    </xf>
    <xf numFmtId="171" fontId="52" fillId="4" borderId="0" xfId="0" applyNumberFormat="1" applyFont="1" applyFill="1"/>
    <xf numFmtId="171" fontId="60" fillId="4" borderId="0" xfId="0" applyNumberFormat="1" applyFont="1" applyFill="1"/>
    <xf numFmtId="0" fontId="24" fillId="0" borderId="1" xfId="2" applyFont="1" applyBorder="1" applyAlignment="1">
      <alignment horizontal="center" vertical="center" wrapText="1"/>
    </xf>
    <xf numFmtId="0" fontId="42" fillId="0" borderId="0" xfId="2" applyFont="1" applyAlignment="1">
      <alignment horizontal="left" vertical="center" wrapText="1"/>
    </xf>
    <xf numFmtId="1" fontId="40" fillId="0" borderId="0" xfId="2" applyNumberFormat="1" applyFont="1"/>
    <xf numFmtId="0" fontId="34" fillId="4" borderId="1" xfId="0" applyFont="1" applyFill="1" applyBorder="1"/>
    <xf numFmtId="172" fontId="47" fillId="0" borderId="0" xfId="2" applyNumberFormat="1" applyFont="1"/>
    <xf numFmtId="4" fontId="31" fillId="9" borderId="1" xfId="0" applyNumberFormat="1" applyFont="1" applyFill="1" applyBorder="1" applyAlignment="1">
      <alignment vertical="center" wrapText="1"/>
    </xf>
    <xf numFmtId="0" fontId="31" fillId="9" borderId="1" xfId="0" applyFont="1" applyFill="1" applyBorder="1" applyAlignment="1">
      <alignment horizontal="center" vertical="center" wrapText="1"/>
    </xf>
    <xf numFmtId="0" fontId="31" fillId="9" borderId="1" xfId="0" applyFont="1" applyFill="1" applyBorder="1" applyAlignment="1">
      <alignment vertical="center" wrapText="1"/>
    </xf>
    <xf numFmtId="0" fontId="57" fillId="4" borderId="0" xfId="0" applyFont="1" applyFill="1" applyAlignment="1">
      <alignment vertical="center" wrapText="1"/>
    </xf>
    <xf numFmtId="0" fontId="57" fillId="4" borderId="1" xfId="0" applyFont="1" applyFill="1" applyBorder="1" applyAlignment="1">
      <alignment horizontal="center" vertical="center" wrapText="1"/>
    </xf>
    <xf numFmtId="4" fontId="57" fillId="4" borderId="1" xfId="0" applyNumberFormat="1" applyFont="1" applyFill="1" applyBorder="1" applyAlignment="1">
      <alignment vertical="center" wrapText="1"/>
    </xf>
    <xf numFmtId="0" fontId="57" fillId="4" borderId="1" xfId="0" applyFont="1" applyFill="1" applyBorder="1" applyAlignment="1">
      <alignment vertical="center" wrapText="1"/>
    </xf>
    <xf numFmtId="0" fontId="57" fillId="4" borderId="0" xfId="0" applyFont="1" applyFill="1" applyAlignment="1">
      <alignment horizontal="right" vertical="center" wrapText="1"/>
    </xf>
    <xf numFmtId="0" fontId="31" fillId="4" borderId="1" xfId="0" applyFont="1" applyFill="1" applyBorder="1" applyAlignment="1">
      <alignment vertical="center" wrapText="1"/>
    </xf>
    <xf numFmtId="4" fontId="31" fillId="4" borderId="1" xfId="0" applyNumberFormat="1" applyFont="1" applyFill="1" applyBorder="1" applyAlignment="1">
      <alignment vertical="center" wrapText="1"/>
    </xf>
    <xf numFmtId="4" fontId="57" fillId="4" borderId="0" xfId="0" applyNumberFormat="1" applyFont="1" applyFill="1" applyAlignment="1">
      <alignment vertical="center" wrapText="1"/>
    </xf>
    <xf numFmtId="0" fontId="23" fillId="0" borderId="15" xfId="2" applyFont="1" applyBorder="1" applyAlignment="1">
      <alignment vertical="center" wrapText="1"/>
    </xf>
    <xf numFmtId="166" fontId="23" fillId="0" borderId="15" xfId="2" applyNumberFormat="1" applyFont="1" applyBorder="1"/>
    <xf numFmtId="0" fontId="24" fillId="0" borderId="1" xfId="2" applyFont="1" applyBorder="1" applyAlignment="1">
      <alignment vertical="center" wrapText="1"/>
    </xf>
    <xf numFmtId="0" fontId="61" fillId="0" borderId="0" xfId="2" applyFont="1"/>
    <xf numFmtId="167" fontId="44" fillId="0" borderId="0" xfId="2" applyNumberFormat="1" applyFont="1"/>
    <xf numFmtId="1" fontId="44" fillId="0" borderId="0" xfId="2" applyNumberFormat="1" applyFont="1"/>
    <xf numFmtId="173" fontId="44" fillId="5" borderId="0" xfId="2" applyNumberFormat="1" applyFont="1" applyFill="1"/>
    <xf numFmtId="169" fontId="46" fillId="0" borderId="0" xfId="2" applyNumberFormat="1" applyFont="1"/>
    <xf numFmtId="170" fontId="44" fillId="5" borderId="0" xfId="2" applyNumberFormat="1" applyFont="1" applyFill="1"/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8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35" fillId="4" borderId="0" xfId="0" applyFont="1" applyFill="1" applyAlignment="1">
      <alignment horizontal="left" vertical="center" wrapText="1"/>
    </xf>
    <xf numFmtId="0" fontId="35" fillId="4" borderId="6" xfId="0" applyFont="1" applyFill="1" applyBorder="1" applyAlignment="1">
      <alignment horizontal="center" vertical="center" wrapText="1"/>
    </xf>
    <xf numFmtId="0" fontId="35" fillId="4" borderId="1" xfId="0" applyFont="1" applyFill="1" applyBorder="1" applyAlignment="1">
      <alignment horizontal="center" vertical="center" wrapText="1"/>
    </xf>
    <xf numFmtId="0" fontId="68" fillId="4" borderId="1" xfId="0" applyFont="1" applyFill="1" applyBorder="1" applyAlignment="1">
      <alignment horizontal="center" vertical="center" wrapText="1"/>
    </xf>
    <xf numFmtId="0" fontId="70" fillId="2" borderId="2" xfId="0" applyFont="1" applyFill="1" applyBorder="1" applyAlignment="1">
      <alignment horizontal="center" vertical="top" wrapText="1"/>
    </xf>
    <xf numFmtId="0" fontId="70" fillId="2" borderId="8" xfId="0" applyFont="1" applyFill="1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35" fillId="4" borderId="7" xfId="0" applyFont="1" applyFill="1" applyBorder="1" applyAlignment="1">
      <alignment horizontal="center" vertical="center" wrapText="1"/>
    </xf>
    <xf numFmtId="0" fontId="66" fillId="4" borderId="0" xfId="0" applyFont="1" applyFill="1" applyAlignment="1">
      <alignment horizontal="center" vertical="center"/>
    </xf>
    <xf numFmtId="0" fontId="35" fillId="4" borderId="10" xfId="0" applyFont="1" applyFill="1" applyBorder="1" applyAlignment="1">
      <alignment horizontal="center" vertical="center" wrapText="1"/>
    </xf>
    <xf numFmtId="0" fontId="35" fillId="4" borderId="12" xfId="0" applyFont="1" applyFill="1" applyBorder="1" applyAlignment="1">
      <alignment horizontal="center" vertical="center" wrapText="1"/>
    </xf>
    <xf numFmtId="0" fontId="35" fillId="4" borderId="11" xfId="0" applyFont="1" applyFill="1" applyBorder="1" applyAlignment="1">
      <alignment horizontal="center" vertical="center" wrapText="1"/>
    </xf>
    <xf numFmtId="0" fontId="35" fillId="4" borderId="13" xfId="0" applyFont="1" applyFill="1" applyBorder="1" applyAlignment="1">
      <alignment horizontal="center" vertical="center" wrapText="1"/>
    </xf>
    <xf numFmtId="0" fontId="35" fillId="4" borderId="14" xfId="0" applyFont="1" applyFill="1" applyBorder="1" applyAlignment="1">
      <alignment horizontal="center" vertical="center" wrapText="1"/>
    </xf>
    <xf numFmtId="0" fontId="35" fillId="4" borderId="15" xfId="0" applyFont="1" applyFill="1" applyBorder="1" applyAlignment="1">
      <alignment horizontal="center" vertical="center" wrapText="1"/>
    </xf>
    <xf numFmtId="0" fontId="35" fillId="4" borderId="4" xfId="0" applyFont="1" applyFill="1" applyBorder="1" applyAlignment="1">
      <alignment horizontal="center" vertical="center"/>
    </xf>
    <xf numFmtId="0" fontId="35" fillId="4" borderId="5" xfId="0" applyFont="1" applyFill="1" applyBorder="1" applyAlignment="1">
      <alignment horizontal="center" vertical="center"/>
    </xf>
    <xf numFmtId="0" fontId="35" fillId="4" borderId="3" xfId="0" applyFont="1" applyFill="1" applyBorder="1" applyAlignment="1">
      <alignment horizontal="center" vertical="center"/>
    </xf>
    <xf numFmtId="0" fontId="35" fillId="4" borderId="9" xfId="0" applyFont="1" applyFill="1" applyBorder="1" applyAlignment="1">
      <alignment horizontal="center" vertical="center" wrapText="1"/>
    </xf>
    <xf numFmtId="0" fontId="68" fillId="4" borderId="2" xfId="0" applyFont="1" applyFill="1" applyBorder="1" applyAlignment="1">
      <alignment horizontal="center" vertical="center"/>
    </xf>
    <xf numFmtId="0" fontId="68" fillId="4" borderId="8" xfId="0" applyFont="1" applyFill="1" applyBorder="1" applyAlignment="1">
      <alignment horizontal="center" vertical="center"/>
    </xf>
    <xf numFmtId="0" fontId="39" fillId="0" borderId="0" xfId="0" applyFont="1" applyAlignment="1">
      <alignment horizontal="left" vertical="center" wrapText="1"/>
    </xf>
    <xf numFmtId="0" fontId="77" fillId="0" borderId="0" xfId="0" applyFont="1" applyAlignment="1">
      <alignment horizontal="left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75" fillId="0" borderId="1" xfId="0" applyFont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top" wrapText="1"/>
    </xf>
    <xf numFmtId="0" fontId="31" fillId="2" borderId="8" xfId="0" applyFont="1" applyFill="1" applyBorder="1" applyAlignment="1">
      <alignment horizontal="center" vertical="top" wrapText="1"/>
    </xf>
    <xf numFmtId="0" fontId="39" fillId="0" borderId="7" xfId="0" applyFont="1" applyBorder="1" applyAlignment="1">
      <alignment horizontal="center" vertical="center" wrapText="1"/>
    </xf>
    <xf numFmtId="0" fontId="65" fillId="0" borderId="0" xfId="0" applyFont="1" applyAlignment="1">
      <alignment horizontal="center" vertical="center"/>
    </xf>
    <xf numFmtId="0" fontId="35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/>
    </xf>
    <xf numFmtId="0" fontId="39" fillId="0" borderId="5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 wrapText="1"/>
    </xf>
    <xf numFmtId="0" fontId="68" fillId="3" borderId="2" xfId="0" applyFont="1" applyFill="1" applyBorder="1" applyAlignment="1">
      <alignment horizontal="center" vertical="center"/>
    </xf>
    <xf numFmtId="0" fontId="68" fillId="3" borderId="8" xfId="0" applyFont="1" applyFill="1" applyBorder="1" applyAlignment="1">
      <alignment horizontal="center" vertical="center"/>
    </xf>
    <xf numFmtId="0" fontId="65" fillId="2" borderId="2" xfId="0" applyFont="1" applyFill="1" applyBorder="1" applyAlignment="1">
      <alignment horizontal="center" vertical="center" wrapText="1"/>
    </xf>
    <xf numFmtId="0" fontId="65" fillId="2" borderId="8" xfId="0" applyFont="1" applyFill="1" applyBorder="1" applyAlignment="1">
      <alignment horizontal="center" vertical="center" wrapText="1"/>
    </xf>
    <xf numFmtId="0" fontId="80" fillId="0" borderId="1" xfId="0" applyFont="1" applyBorder="1" applyAlignment="1">
      <alignment horizontal="center" vertical="center" wrapText="1"/>
    </xf>
    <xf numFmtId="0" fontId="25" fillId="0" borderId="0" xfId="2" applyFont="1" applyAlignment="1">
      <alignment horizontal="left" wrapText="1"/>
    </xf>
    <xf numFmtId="4" fontId="30" fillId="0" borderId="0" xfId="2" applyNumberFormat="1" applyFont="1" applyAlignment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  <xf numFmtId="0" fontId="24" fillId="0" borderId="13" xfId="2" applyFont="1" applyBorder="1" applyAlignment="1">
      <alignment horizontal="left" vertical="center" wrapText="1"/>
    </xf>
    <xf numFmtId="0" fontId="24" fillId="0" borderId="14" xfId="2" applyFont="1" applyBorder="1" applyAlignment="1">
      <alignment horizontal="left" vertical="center" wrapText="1"/>
    </xf>
    <xf numFmtId="0" fontId="24" fillId="0" borderId="14" xfId="2" applyFont="1" applyBorder="1" applyAlignment="1">
      <alignment horizontal="center" vertical="center" wrapText="1"/>
    </xf>
    <xf numFmtId="0" fontId="24" fillId="0" borderId="15" xfId="2" applyFont="1" applyBorder="1" applyAlignment="1">
      <alignment horizontal="center" vertical="center" wrapText="1"/>
    </xf>
    <xf numFmtId="0" fontId="24" fillId="0" borderId="15" xfId="2" applyFont="1" applyBorder="1" applyAlignment="1">
      <alignment horizontal="left" vertical="center" wrapText="1"/>
    </xf>
    <xf numFmtId="0" fontId="24" fillId="0" borderId="0" xfId="2" applyFont="1" applyAlignment="1">
      <alignment horizontal="center" vertical="center" wrapText="1"/>
    </xf>
    <xf numFmtId="0" fontId="24" fillId="0" borderId="0" xfId="2" applyFont="1" applyAlignment="1">
      <alignment horizontal="center"/>
    </xf>
    <xf numFmtId="2" fontId="36" fillId="0" borderId="13" xfId="0" applyNumberFormat="1" applyFont="1" applyBorder="1" applyAlignment="1">
      <alignment horizontal="center" vertical="center" wrapText="1"/>
    </xf>
    <xf numFmtId="2" fontId="36" fillId="0" borderId="15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57" fillId="0" borderId="18" xfId="0" applyFont="1" applyFill="1" applyBorder="1" applyAlignment="1">
      <alignment horizontal="left" wrapText="1"/>
    </xf>
    <xf numFmtId="0" fontId="57" fillId="0" borderId="0" xfId="0" applyFont="1" applyFill="1" applyBorder="1" applyAlignment="1">
      <alignment horizontal="left" wrapText="1"/>
    </xf>
    <xf numFmtId="0" fontId="42" fillId="0" borderId="0" xfId="0" applyFont="1" applyFill="1" applyBorder="1" applyAlignment="1">
      <alignment horizontal="center" wrapText="1"/>
    </xf>
    <xf numFmtId="0" fontId="57" fillId="0" borderId="17" xfId="0" applyFont="1" applyBorder="1" applyAlignment="1">
      <alignment horizontal="center" vertical="center" wrapText="1"/>
    </xf>
    <xf numFmtId="0" fontId="57" fillId="0" borderId="2" xfId="0" applyFont="1" applyBorder="1" applyAlignment="1">
      <alignment horizontal="center" vertical="center" wrapText="1"/>
    </xf>
    <xf numFmtId="0" fontId="57" fillId="0" borderId="9" xfId="0" applyFont="1" applyBorder="1" applyAlignment="1">
      <alignment horizontal="center" vertical="center" wrapText="1"/>
    </xf>
    <xf numFmtId="0" fontId="57" fillId="0" borderId="0" xfId="0" applyFont="1" applyAlignment="1">
      <alignment horizontal="left" vertical="top" wrapText="1"/>
    </xf>
    <xf numFmtId="0" fontId="65" fillId="0" borderId="0" xfId="0" applyFont="1" applyAlignment="1">
      <alignment horizontal="center"/>
    </xf>
    <xf numFmtId="0" fontId="57" fillId="0" borderId="13" xfId="0" applyFont="1" applyBorder="1" applyAlignment="1">
      <alignment horizontal="left" vertical="center" wrapText="1"/>
    </xf>
    <xf numFmtId="0" fontId="57" fillId="0" borderId="15" xfId="0" applyFont="1" applyBorder="1" applyAlignment="1">
      <alignment horizontal="left" vertical="center" wrapText="1"/>
    </xf>
    <xf numFmtId="2" fontId="34" fillId="0" borderId="13" xfId="0" applyNumberFormat="1" applyFont="1" applyBorder="1" applyAlignment="1">
      <alignment horizontal="center" vertical="center" wrapText="1"/>
    </xf>
    <xf numFmtId="2" fontId="34" fillId="0" borderId="15" xfId="0" applyNumberFormat="1" applyFont="1" applyBorder="1" applyAlignment="1">
      <alignment horizontal="center" vertical="center" wrapText="1"/>
    </xf>
    <xf numFmtId="0" fontId="34" fillId="0" borderId="13" xfId="0" applyFont="1" applyBorder="1" applyAlignment="1">
      <alignment horizontal="right" vertical="center" wrapText="1"/>
    </xf>
    <xf numFmtId="0" fontId="34" fillId="0" borderId="15" xfId="0" applyFont="1" applyBorder="1" applyAlignment="1">
      <alignment horizontal="right" vertical="center" wrapText="1"/>
    </xf>
    <xf numFmtId="0" fontId="57" fillId="0" borderId="13" xfId="0" applyFont="1" applyBorder="1" applyAlignment="1">
      <alignment horizontal="center" vertical="center" wrapText="1"/>
    </xf>
    <xf numFmtId="0" fontId="57" fillId="0" borderId="15" xfId="0" applyFont="1" applyBorder="1" applyAlignment="1">
      <alignment horizontal="center" vertical="center" wrapText="1"/>
    </xf>
    <xf numFmtId="2" fontId="34" fillId="0" borderId="13" xfId="0" applyNumberFormat="1" applyFont="1" applyBorder="1" applyAlignment="1">
      <alignment horizontal="right" vertical="center" wrapText="1"/>
    </xf>
    <xf numFmtId="2" fontId="34" fillId="0" borderId="15" xfId="0" applyNumberFormat="1" applyFont="1" applyBorder="1" applyAlignment="1">
      <alignment horizontal="right" vertical="center" wrapText="1"/>
    </xf>
    <xf numFmtId="0" fontId="60" fillId="0" borderId="0" xfId="2" applyFont="1" applyAlignment="1">
      <alignment horizontal="center"/>
    </xf>
    <xf numFmtId="0" fontId="42" fillId="0" borderId="0" xfId="2" applyFont="1" applyAlignment="1">
      <alignment horizontal="left" vertical="center" wrapText="1"/>
    </xf>
    <xf numFmtId="0" fontId="46" fillId="8" borderId="0" xfId="2" applyFont="1" applyFill="1" applyAlignment="1">
      <alignment horizontal="center" wrapText="1"/>
    </xf>
    <xf numFmtId="0" fontId="46" fillId="8" borderId="0" xfId="2" applyFont="1" applyFill="1" applyAlignment="1">
      <alignment horizontal="center"/>
    </xf>
    <xf numFmtId="0" fontId="40" fillId="0" borderId="0" xfId="2" applyFont="1" applyAlignment="1">
      <alignment horizontal="center" wrapText="1"/>
    </xf>
    <xf numFmtId="0" fontId="51" fillId="0" borderId="0" xfId="2" applyFont="1" applyAlignment="1">
      <alignment horizontal="center" wrapText="1"/>
    </xf>
    <xf numFmtId="0" fontId="51" fillId="0" borderId="0" xfId="2" applyFont="1" applyAlignment="1">
      <alignment horizontal="center"/>
    </xf>
    <xf numFmtId="0" fontId="43" fillId="8" borderId="0" xfId="2" applyFont="1" applyFill="1" applyAlignment="1">
      <alignment horizontal="center" wrapText="1"/>
    </xf>
    <xf numFmtId="0" fontId="40" fillId="0" borderId="0" xfId="2" applyFont="1" applyAlignment="1">
      <alignment horizontal="center"/>
    </xf>
    <xf numFmtId="0" fontId="61" fillId="0" borderId="0" xfId="2" applyFont="1" applyAlignment="1">
      <alignment horizontal="center"/>
    </xf>
    <xf numFmtId="0" fontId="61" fillId="0" borderId="0" xfId="2" applyFont="1" applyAlignment="1">
      <alignment horizontal="center" vertical="center" wrapText="1"/>
    </xf>
    <xf numFmtId="0" fontId="45" fillId="0" borderId="0" xfId="2" applyFont="1" applyAlignment="1">
      <alignment horizontal="center" wrapText="1"/>
    </xf>
    <xf numFmtId="0" fontId="45" fillId="0" borderId="0" xfId="2" applyFont="1" applyAlignment="1">
      <alignment horizontal="center"/>
    </xf>
    <xf numFmtId="4" fontId="55" fillId="0" borderId="0" xfId="2" applyNumberFormat="1" applyFont="1" applyAlignment="1">
      <alignment horizontal="center" vertical="center" wrapText="1"/>
    </xf>
    <xf numFmtId="0" fontId="43" fillId="8" borderId="0" xfId="2" applyFont="1" applyFill="1" applyAlignment="1">
      <alignment horizontal="left" vertical="center" wrapText="1"/>
    </xf>
    <xf numFmtId="0" fontId="46" fillId="0" borderId="0" xfId="2" applyFont="1" applyAlignment="1">
      <alignment horizontal="left" vertical="center" wrapText="1"/>
    </xf>
    <xf numFmtId="0" fontId="57" fillId="9" borderId="1" xfId="0" applyFont="1" applyFill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31" fillId="9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175" fontId="60" fillId="4" borderId="0" xfId="0" applyNumberFormat="1" applyFont="1" applyFill="1"/>
    <xf numFmtId="175" fontId="34" fillId="0" borderId="0" xfId="0" applyNumberFormat="1" applyFont="1" applyAlignment="1">
      <alignment horizontal="center" vertical="center"/>
    </xf>
    <xf numFmtId="185" fontId="22" fillId="0" borderId="0" xfId="2" applyNumberFormat="1"/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colors>
    <mruColors>
      <color rgb="FF0000FF"/>
      <color rgb="FFCC99FF"/>
      <color rgb="FFCCE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4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4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18</xdr:row>
      <xdr:rowOff>0</xdr:rowOff>
    </xdr:from>
    <xdr:to>
      <xdr:col>0</xdr:col>
      <xdr:colOff>438150</xdr:colOff>
      <xdr:row>19</xdr:row>
      <xdr:rowOff>11641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3762375"/>
          <a:ext cx="438149" cy="41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16</xdr:row>
      <xdr:rowOff>161925</xdr:rowOff>
    </xdr:from>
    <xdr:to>
      <xdr:col>0</xdr:col>
      <xdr:colOff>476250</xdr:colOff>
      <xdr:row>16</xdr:row>
      <xdr:rowOff>438150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105150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83343</xdr:colOff>
      <xdr:row>19</xdr:row>
      <xdr:rowOff>83344</xdr:rowOff>
    </xdr:from>
    <xdr:to>
      <xdr:col>2</xdr:col>
      <xdr:colOff>340518</xdr:colOff>
      <xdr:row>20</xdr:row>
      <xdr:rowOff>28576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0156" y="5965032"/>
          <a:ext cx="1721643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20</xdr:row>
      <xdr:rowOff>0</xdr:rowOff>
    </xdr:from>
    <xdr:to>
      <xdr:col>1</xdr:col>
      <xdr:colOff>28575</xdr:colOff>
      <xdr:row>20</xdr:row>
      <xdr:rowOff>266700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400550"/>
          <a:ext cx="114300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25</xdr:row>
      <xdr:rowOff>0</xdr:rowOff>
    </xdr:from>
    <xdr:to>
      <xdr:col>2</xdr:col>
      <xdr:colOff>1009650</xdr:colOff>
      <xdr:row>25</xdr:row>
      <xdr:rowOff>333375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6962775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27</xdr:row>
      <xdr:rowOff>28575</xdr:rowOff>
    </xdr:from>
    <xdr:to>
      <xdr:col>0</xdr:col>
      <xdr:colOff>628650</xdr:colOff>
      <xdr:row>27</xdr:row>
      <xdr:rowOff>285750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53427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0</xdr:col>
      <xdr:colOff>866775</xdr:colOff>
      <xdr:row>29</xdr:row>
      <xdr:rowOff>333375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05775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56</xdr:row>
      <xdr:rowOff>0</xdr:rowOff>
    </xdr:from>
    <xdr:to>
      <xdr:col>2</xdr:col>
      <xdr:colOff>342900</xdr:colOff>
      <xdr:row>57</xdr:row>
      <xdr:rowOff>38100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14601825"/>
          <a:ext cx="18097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58</xdr:row>
      <xdr:rowOff>161925</xdr:rowOff>
    </xdr:from>
    <xdr:to>
      <xdr:col>0</xdr:col>
      <xdr:colOff>476250</xdr:colOff>
      <xdr:row>58</xdr:row>
      <xdr:rowOff>438150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5430500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0</xdr:col>
      <xdr:colOff>752475</xdr:colOff>
      <xdr:row>63</xdr:row>
      <xdr:rowOff>285750</xdr:rowOff>
    </xdr:to>
    <xdr:pic>
      <xdr:nvPicPr>
        <xdr:cNvPr id="11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849725"/>
          <a:ext cx="752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67</xdr:row>
      <xdr:rowOff>0</xdr:rowOff>
    </xdr:from>
    <xdr:to>
      <xdr:col>2</xdr:col>
      <xdr:colOff>1209675</xdr:colOff>
      <xdr:row>67</xdr:row>
      <xdr:rowOff>333375</xdr:rowOff>
    </xdr:to>
    <xdr:pic>
      <xdr:nvPicPr>
        <xdr:cNvPr id="12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18678525"/>
          <a:ext cx="26765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0</xdr:col>
      <xdr:colOff>819150</xdr:colOff>
      <xdr:row>69</xdr:row>
      <xdr:rowOff>257175</xdr:rowOff>
    </xdr:to>
    <xdr:pic>
      <xdr:nvPicPr>
        <xdr:cNvPr id="13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288125"/>
          <a:ext cx="8191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34</xdr:row>
      <xdr:rowOff>0</xdr:rowOff>
    </xdr:from>
    <xdr:to>
      <xdr:col>2</xdr:col>
      <xdr:colOff>1009650</xdr:colOff>
      <xdr:row>34</xdr:row>
      <xdr:rowOff>333375</xdr:rowOff>
    </xdr:to>
    <xdr:pic>
      <xdr:nvPicPr>
        <xdr:cNvPr id="74" name="Рисунок 7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3" y="8691563"/>
          <a:ext cx="2474118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36</xdr:row>
      <xdr:rowOff>28575</xdr:rowOff>
    </xdr:from>
    <xdr:to>
      <xdr:col>0</xdr:col>
      <xdr:colOff>628650</xdr:colOff>
      <xdr:row>36</xdr:row>
      <xdr:rowOff>285750</xdr:rowOff>
    </xdr:to>
    <xdr:pic>
      <xdr:nvPicPr>
        <xdr:cNvPr id="75" name="Рисунок 7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26782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0</xdr:col>
      <xdr:colOff>866775</xdr:colOff>
      <xdr:row>38</xdr:row>
      <xdr:rowOff>333375</xdr:rowOff>
    </xdr:to>
    <xdr:pic>
      <xdr:nvPicPr>
        <xdr:cNvPr id="76" name="Рисунок 75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4563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45</xdr:row>
      <xdr:rowOff>0</xdr:rowOff>
    </xdr:from>
    <xdr:to>
      <xdr:col>2</xdr:col>
      <xdr:colOff>1009650</xdr:colOff>
      <xdr:row>45</xdr:row>
      <xdr:rowOff>333375</xdr:rowOff>
    </xdr:to>
    <xdr:pic>
      <xdr:nvPicPr>
        <xdr:cNvPr id="77" name="Рисунок 7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3" y="16168688"/>
          <a:ext cx="2474118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47</xdr:row>
      <xdr:rowOff>28575</xdr:rowOff>
    </xdr:from>
    <xdr:to>
      <xdr:col>0</xdr:col>
      <xdr:colOff>628650</xdr:colOff>
      <xdr:row>47</xdr:row>
      <xdr:rowOff>285750</xdr:rowOff>
    </xdr:to>
    <xdr:pic>
      <xdr:nvPicPr>
        <xdr:cNvPr id="78" name="Рисунок 7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67449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0</xdr:col>
      <xdr:colOff>866775</xdr:colOff>
      <xdr:row>49</xdr:row>
      <xdr:rowOff>333375</xdr:rowOff>
    </xdr:to>
    <xdr:pic>
      <xdr:nvPicPr>
        <xdr:cNvPr id="79" name="Рисунок 7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311688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21</xdr:row>
      <xdr:rowOff>0</xdr:rowOff>
    </xdr:from>
    <xdr:to>
      <xdr:col>1</xdr:col>
      <xdr:colOff>28575</xdr:colOff>
      <xdr:row>21</xdr:row>
      <xdr:rowOff>266700</xdr:rowOff>
    </xdr:to>
    <xdr:pic>
      <xdr:nvPicPr>
        <xdr:cNvPr id="21" name="Рисунок 20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7429500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0</xdr:col>
      <xdr:colOff>1281113</xdr:colOff>
      <xdr:row>30</xdr:row>
      <xdr:rowOff>266700</xdr:rowOff>
    </xdr:to>
    <xdr:pic>
      <xdr:nvPicPr>
        <xdr:cNvPr id="22" name="Рисунок 2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70531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0</xdr:col>
      <xdr:colOff>1281113</xdr:colOff>
      <xdr:row>39</xdr:row>
      <xdr:rowOff>266700</xdr:rowOff>
    </xdr:to>
    <xdr:pic>
      <xdr:nvPicPr>
        <xdr:cNvPr id="25" name="Рисунок 2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70531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0</xdr:col>
      <xdr:colOff>1281113</xdr:colOff>
      <xdr:row>50</xdr:row>
      <xdr:rowOff>266700</xdr:rowOff>
    </xdr:to>
    <xdr:pic>
      <xdr:nvPicPr>
        <xdr:cNvPr id="26" name="Рисунок 25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33469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77</xdr:row>
      <xdr:rowOff>35719</xdr:rowOff>
    </xdr:from>
    <xdr:to>
      <xdr:col>2</xdr:col>
      <xdr:colOff>1412081</xdr:colOff>
      <xdr:row>78</xdr:row>
      <xdr:rowOff>23813</xdr:rowOff>
    </xdr:to>
    <xdr:pic>
      <xdr:nvPicPr>
        <xdr:cNvPr id="24" name="Рисунок 23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2094" y="30932438"/>
          <a:ext cx="2674143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119062</xdr:colOff>
      <xdr:row>79</xdr:row>
      <xdr:rowOff>47625</xdr:rowOff>
    </xdr:from>
    <xdr:to>
      <xdr:col>0</xdr:col>
      <xdr:colOff>1275671</xdr:colOff>
      <xdr:row>80</xdr:row>
      <xdr:rowOff>0</xdr:rowOff>
    </xdr:to>
    <xdr:pic>
      <xdr:nvPicPr>
        <xdr:cNvPr id="28" name="Рисунок 27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2" y="31492031"/>
          <a:ext cx="1156609" cy="404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95249</xdr:colOff>
      <xdr:row>83</xdr:row>
      <xdr:rowOff>166687</xdr:rowOff>
    </xdr:from>
    <xdr:to>
      <xdr:col>0</xdr:col>
      <xdr:colOff>1123494</xdr:colOff>
      <xdr:row>83</xdr:row>
      <xdr:rowOff>559594</xdr:rowOff>
    </xdr:to>
    <xdr:pic>
      <xdr:nvPicPr>
        <xdr:cNvPr id="14" name="Рисунок 13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95249" y="32742187"/>
          <a:ext cx="1028245" cy="392907"/>
        </a:xfrm>
        <a:prstGeom prst="rect">
          <a:avLst/>
        </a:prstGeom>
      </xdr:spPr>
    </xdr:pic>
    <xdr:clientData/>
  </xdr:twoCellAnchor>
  <xdr:twoCellAnchor>
    <xdr:from>
      <xdr:col>1</xdr:col>
      <xdr:colOff>202406</xdr:colOff>
      <xdr:row>87</xdr:row>
      <xdr:rowOff>35719</xdr:rowOff>
    </xdr:from>
    <xdr:to>
      <xdr:col>2</xdr:col>
      <xdr:colOff>1412081</xdr:colOff>
      <xdr:row>88</xdr:row>
      <xdr:rowOff>23813</xdr:rowOff>
    </xdr:to>
    <xdr:pic>
      <xdr:nvPicPr>
        <xdr:cNvPr id="29" name="Рисунок 28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2094" y="32754094"/>
          <a:ext cx="2674143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</xdr:colOff>
      <xdr:row>93</xdr:row>
      <xdr:rowOff>309563</xdr:rowOff>
    </xdr:from>
    <xdr:to>
      <xdr:col>0</xdr:col>
      <xdr:colOff>1168515</xdr:colOff>
      <xdr:row>93</xdr:row>
      <xdr:rowOff>678657</xdr:rowOff>
    </xdr:to>
    <xdr:pic>
      <xdr:nvPicPr>
        <xdr:cNvPr id="30" name="Рисунок 29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" y="36195001"/>
          <a:ext cx="1156609" cy="3690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142875</xdr:colOff>
      <xdr:row>88</xdr:row>
      <xdr:rowOff>392906</xdr:rowOff>
    </xdr:from>
    <xdr:ext cx="1028245" cy="392907"/>
    <xdr:pic>
      <xdr:nvPicPr>
        <xdr:cNvPr id="31" name="Рисунок 30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42875" y="34659094"/>
          <a:ext cx="1028245" cy="392907"/>
        </a:xfrm>
        <a:prstGeom prst="rect">
          <a:avLst/>
        </a:prstGeom>
      </xdr:spPr>
    </xdr:pic>
    <xdr:clientData/>
  </xdr:oneCellAnchor>
  <xdr:twoCellAnchor>
    <xdr:from>
      <xdr:col>0</xdr:col>
      <xdr:colOff>71438</xdr:colOff>
      <xdr:row>91</xdr:row>
      <xdr:rowOff>23813</xdr:rowOff>
    </xdr:from>
    <xdr:to>
      <xdr:col>0</xdr:col>
      <xdr:colOff>809625</xdr:colOff>
      <xdr:row>91</xdr:row>
      <xdr:rowOff>399871</xdr:rowOff>
    </xdr:to>
    <xdr:pic>
      <xdr:nvPicPr>
        <xdr:cNvPr id="32" name="Рисунок 31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8" y="35492532"/>
          <a:ext cx="738187" cy="3760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71437</xdr:colOff>
      <xdr:row>81</xdr:row>
      <xdr:rowOff>23813</xdr:rowOff>
    </xdr:from>
    <xdr:to>
      <xdr:col>0</xdr:col>
      <xdr:colOff>809624</xdr:colOff>
      <xdr:row>81</xdr:row>
      <xdr:rowOff>399871</xdr:rowOff>
    </xdr:to>
    <xdr:pic>
      <xdr:nvPicPr>
        <xdr:cNvPr id="33" name="Рисунок 32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" y="31432501"/>
          <a:ext cx="738187" cy="3760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13</xdr:row>
      <xdr:rowOff>0</xdr:rowOff>
    </xdr:from>
    <xdr:to>
      <xdr:col>0</xdr:col>
      <xdr:colOff>438150</xdr:colOff>
      <xdr:row>14</xdr:row>
      <xdr:rowOff>11641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467350"/>
          <a:ext cx="438149" cy="41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11</xdr:row>
      <xdr:rowOff>161925</xdr:rowOff>
    </xdr:from>
    <xdr:to>
      <xdr:col>0</xdr:col>
      <xdr:colOff>476250</xdr:colOff>
      <xdr:row>11</xdr:row>
      <xdr:rowOff>438150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810125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83343</xdr:colOff>
      <xdr:row>14</xdr:row>
      <xdr:rowOff>83344</xdr:rowOff>
    </xdr:from>
    <xdr:to>
      <xdr:col>2</xdr:col>
      <xdr:colOff>340518</xdr:colOff>
      <xdr:row>15</xdr:row>
      <xdr:rowOff>28576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68" y="5950744"/>
          <a:ext cx="1724025" cy="507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15</xdr:row>
      <xdr:rowOff>0</xdr:rowOff>
    </xdr:from>
    <xdr:to>
      <xdr:col>1</xdr:col>
      <xdr:colOff>28575</xdr:colOff>
      <xdr:row>15</xdr:row>
      <xdr:rowOff>266700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6429375"/>
          <a:ext cx="127635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</xdr:row>
      <xdr:rowOff>0</xdr:rowOff>
    </xdr:from>
    <xdr:to>
      <xdr:col>2</xdr:col>
      <xdr:colOff>1009650</xdr:colOff>
      <xdr:row>19</xdr:row>
      <xdr:rowOff>333375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899160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21</xdr:row>
      <xdr:rowOff>28575</xdr:rowOff>
    </xdr:from>
    <xdr:to>
      <xdr:col>0</xdr:col>
      <xdr:colOff>628650</xdr:colOff>
      <xdr:row>21</xdr:row>
      <xdr:rowOff>285750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56310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866775</xdr:colOff>
      <xdr:row>23</xdr:row>
      <xdr:rowOff>333375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3460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45</xdr:row>
      <xdr:rowOff>0</xdr:rowOff>
    </xdr:from>
    <xdr:to>
      <xdr:col>2</xdr:col>
      <xdr:colOff>342900</xdr:colOff>
      <xdr:row>46</xdr:row>
      <xdr:rowOff>38100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1775400"/>
          <a:ext cx="18097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47</xdr:row>
      <xdr:rowOff>161925</xdr:rowOff>
    </xdr:from>
    <xdr:to>
      <xdr:col>0</xdr:col>
      <xdr:colOff>476250</xdr:colOff>
      <xdr:row>47</xdr:row>
      <xdr:rowOff>438150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2604075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752475</xdr:colOff>
      <xdr:row>52</xdr:row>
      <xdr:rowOff>285750</xdr:rowOff>
    </xdr:to>
    <xdr:pic>
      <xdr:nvPicPr>
        <xdr:cNvPr id="11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023300"/>
          <a:ext cx="752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56</xdr:row>
      <xdr:rowOff>0</xdr:rowOff>
    </xdr:from>
    <xdr:to>
      <xdr:col>2</xdr:col>
      <xdr:colOff>1209675</xdr:colOff>
      <xdr:row>56</xdr:row>
      <xdr:rowOff>333375</xdr:rowOff>
    </xdr:to>
    <xdr:pic>
      <xdr:nvPicPr>
        <xdr:cNvPr id="12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5852100"/>
          <a:ext cx="26765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0</xdr:col>
      <xdr:colOff>819150</xdr:colOff>
      <xdr:row>58</xdr:row>
      <xdr:rowOff>257175</xdr:rowOff>
    </xdr:to>
    <xdr:pic>
      <xdr:nvPicPr>
        <xdr:cNvPr id="13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461700"/>
          <a:ext cx="8191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27</xdr:row>
      <xdr:rowOff>0</xdr:rowOff>
    </xdr:from>
    <xdr:to>
      <xdr:col>2</xdr:col>
      <xdr:colOff>1009650</xdr:colOff>
      <xdr:row>27</xdr:row>
      <xdr:rowOff>333375</xdr:rowOff>
    </xdr:to>
    <xdr:pic>
      <xdr:nvPicPr>
        <xdr:cNvPr id="14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1644015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29</xdr:row>
      <xdr:rowOff>28575</xdr:rowOff>
    </xdr:from>
    <xdr:to>
      <xdr:col>0</xdr:col>
      <xdr:colOff>628650</xdr:colOff>
      <xdr:row>29</xdr:row>
      <xdr:rowOff>285750</xdr:rowOff>
    </xdr:to>
    <xdr:pic>
      <xdr:nvPicPr>
        <xdr:cNvPr id="15" name="Рисунок 1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70116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0</xdr:col>
      <xdr:colOff>866775</xdr:colOff>
      <xdr:row>31</xdr:row>
      <xdr:rowOff>333375</xdr:rowOff>
    </xdr:to>
    <xdr:pic>
      <xdr:nvPicPr>
        <xdr:cNvPr id="16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58315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2</xdr:col>
      <xdr:colOff>1009650</xdr:colOff>
      <xdr:row>35</xdr:row>
      <xdr:rowOff>333375</xdr:rowOff>
    </xdr:to>
    <xdr:pic>
      <xdr:nvPicPr>
        <xdr:cNvPr id="17" name="Рисунок 1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2375535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37</xdr:row>
      <xdr:rowOff>28575</xdr:rowOff>
    </xdr:from>
    <xdr:to>
      <xdr:col>0</xdr:col>
      <xdr:colOff>628650</xdr:colOff>
      <xdr:row>37</xdr:row>
      <xdr:rowOff>285750</xdr:rowOff>
    </xdr:to>
    <xdr:pic>
      <xdr:nvPicPr>
        <xdr:cNvPr id="18" name="Рисунок 1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43268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0</xdr:col>
      <xdr:colOff>866775</xdr:colOff>
      <xdr:row>39</xdr:row>
      <xdr:rowOff>333375</xdr:rowOff>
    </xdr:to>
    <xdr:pic>
      <xdr:nvPicPr>
        <xdr:cNvPr id="19" name="Рисунок 1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89835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67</xdr:row>
      <xdr:rowOff>0</xdr:rowOff>
    </xdr:from>
    <xdr:to>
      <xdr:col>2</xdr:col>
      <xdr:colOff>1209675</xdr:colOff>
      <xdr:row>68</xdr:row>
      <xdr:rowOff>59531</xdr:rowOff>
    </xdr:to>
    <xdr:pic>
      <xdr:nvPicPr>
        <xdr:cNvPr id="20" name="Рисунок 19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9688" y="25824656"/>
          <a:ext cx="2674143" cy="404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47625</xdr:colOff>
      <xdr:row>69</xdr:row>
      <xdr:rowOff>0</xdr:rowOff>
    </xdr:from>
    <xdr:ext cx="1028245" cy="392907"/>
    <xdr:pic>
      <xdr:nvPicPr>
        <xdr:cNvPr id="21" name="Рисунок 20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7625" y="26372344"/>
          <a:ext cx="1028245" cy="392907"/>
        </a:xfrm>
        <a:prstGeom prst="rect">
          <a:avLst/>
        </a:prstGeom>
      </xdr:spPr>
    </xdr:pic>
    <xdr:clientData/>
  </xdr:oneCellAnchor>
  <xdr:twoCellAnchor>
    <xdr:from>
      <xdr:col>0</xdr:col>
      <xdr:colOff>47625</xdr:colOff>
      <xdr:row>71</xdr:row>
      <xdr:rowOff>0</xdr:rowOff>
    </xdr:from>
    <xdr:to>
      <xdr:col>0</xdr:col>
      <xdr:colOff>785812</xdr:colOff>
      <xdr:row>72</xdr:row>
      <xdr:rowOff>18871</xdr:rowOff>
    </xdr:to>
    <xdr:pic>
      <xdr:nvPicPr>
        <xdr:cNvPr id="22" name="Рисунок 21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6943844"/>
          <a:ext cx="738187" cy="3760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23812</xdr:colOff>
      <xdr:row>73</xdr:row>
      <xdr:rowOff>214313</xdr:rowOff>
    </xdr:from>
    <xdr:to>
      <xdr:col>0</xdr:col>
      <xdr:colOff>1180421</xdr:colOff>
      <xdr:row>73</xdr:row>
      <xdr:rowOff>583407</xdr:rowOff>
    </xdr:to>
    <xdr:pic>
      <xdr:nvPicPr>
        <xdr:cNvPr id="23" name="Рисунок 22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" y="27693938"/>
          <a:ext cx="1156609" cy="3690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13</xdr:row>
      <xdr:rowOff>0</xdr:rowOff>
    </xdr:from>
    <xdr:to>
      <xdr:col>0</xdr:col>
      <xdr:colOff>438150</xdr:colOff>
      <xdr:row>14</xdr:row>
      <xdr:rowOff>11641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4962525"/>
          <a:ext cx="438149" cy="41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11</xdr:row>
      <xdr:rowOff>161925</xdr:rowOff>
    </xdr:from>
    <xdr:to>
      <xdr:col>0</xdr:col>
      <xdr:colOff>476250</xdr:colOff>
      <xdr:row>11</xdr:row>
      <xdr:rowOff>438150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305300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83343</xdr:colOff>
      <xdr:row>14</xdr:row>
      <xdr:rowOff>83344</xdr:rowOff>
    </xdr:from>
    <xdr:to>
      <xdr:col>2</xdr:col>
      <xdr:colOff>340518</xdr:colOff>
      <xdr:row>15</xdr:row>
      <xdr:rowOff>28576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68" y="5445919"/>
          <a:ext cx="1724025" cy="507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15</xdr:row>
      <xdr:rowOff>0</xdr:rowOff>
    </xdr:from>
    <xdr:to>
      <xdr:col>1</xdr:col>
      <xdr:colOff>28575</xdr:colOff>
      <xdr:row>15</xdr:row>
      <xdr:rowOff>266700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924550"/>
          <a:ext cx="127635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</xdr:row>
      <xdr:rowOff>0</xdr:rowOff>
    </xdr:from>
    <xdr:to>
      <xdr:col>2</xdr:col>
      <xdr:colOff>1009650</xdr:colOff>
      <xdr:row>19</xdr:row>
      <xdr:rowOff>333375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8486775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21</xdr:row>
      <xdr:rowOff>28575</xdr:rowOff>
    </xdr:from>
    <xdr:to>
      <xdr:col>0</xdr:col>
      <xdr:colOff>628650</xdr:colOff>
      <xdr:row>21</xdr:row>
      <xdr:rowOff>285750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05827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866775</xdr:colOff>
      <xdr:row>23</xdr:row>
      <xdr:rowOff>333375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629775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45</xdr:row>
      <xdr:rowOff>0</xdr:rowOff>
    </xdr:from>
    <xdr:to>
      <xdr:col>2</xdr:col>
      <xdr:colOff>342900</xdr:colOff>
      <xdr:row>46</xdr:row>
      <xdr:rowOff>38100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1394400"/>
          <a:ext cx="18097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47</xdr:row>
      <xdr:rowOff>161925</xdr:rowOff>
    </xdr:from>
    <xdr:to>
      <xdr:col>0</xdr:col>
      <xdr:colOff>476250</xdr:colOff>
      <xdr:row>47</xdr:row>
      <xdr:rowOff>438150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2223075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752475</xdr:colOff>
      <xdr:row>52</xdr:row>
      <xdr:rowOff>285750</xdr:rowOff>
    </xdr:to>
    <xdr:pic>
      <xdr:nvPicPr>
        <xdr:cNvPr id="11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642300"/>
          <a:ext cx="752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56</xdr:row>
      <xdr:rowOff>0</xdr:rowOff>
    </xdr:from>
    <xdr:to>
      <xdr:col>2</xdr:col>
      <xdr:colOff>1209675</xdr:colOff>
      <xdr:row>56</xdr:row>
      <xdr:rowOff>333375</xdr:rowOff>
    </xdr:to>
    <xdr:pic>
      <xdr:nvPicPr>
        <xdr:cNvPr id="12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5471100"/>
          <a:ext cx="26765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0</xdr:col>
      <xdr:colOff>819150</xdr:colOff>
      <xdr:row>58</xdr:row>
      <xdr:rowOff>257175</xdr:rowOff>
    </xdr:to>
    <xdr:pic>
      <xdr:nvPicPr>
        <xdr:cNvPr id="13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080700"/>
          <a:ext cx="8191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27</xdr:row>
      <xdr:rowOff>0</xdr:rowOff>
    </xdr:from>
    <xdr:to>
      <xdr:col>2</xdr:col>
      <xdr:colOff>1009650</xdr:colOff>
      <xdr:row>27</xdr:row>
      <xdr:rowOff>333375</xdr:rowOff>
    </xdr:to>
    <xdr:pic>
      <xdr:nvPicPr>
        <xdr:cNvPr id="14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15935325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29</xdr:row>
      <xdr:rowOff>28575</xdr:rowOff>
    </xdr:from>
    <xdr:to>
      <xdr:col>0</xdr:col>
      <xdr:colOff>628650</xdr:colOff>
      <xdr:row>29</xdr:row>
      <xdr:rowOff>285750</xdr:rowOff>
    </xdr:to>
    <xdr:pic>
      <xdr:nvPicPr>
        <xdr:cNvPr id="15" name="Рисунок 1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650682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0</xdr:col>
      <xdr:colOff>866775</xdr:colOff>
      <xdr:row>31</xdr:row>
      <xdr:rowOff>333375</xdr:rowOff>
    </xdr:to>
    <xdr:pic>
      <xdr:nvPicPr>
        <xdr:cNvPr id="16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078325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2</xdr:col>
      <xdr:colOff>1009650</xdr:colOff>
      <xdr:row>35</xdr:row>
      <xdr:rowOff>333375</xdr:rowOff>
    </xdr:to>
    <xdr:pic>
      <xdr:nvPicPr>
        <xdr:cNvPr id="17" name="Рисунок 1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2337435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37</xdr:row>
      <xdr:rowOff>28575</xdr:rowOff>
    </xdr:from>
    <xdr:to>
      <xdr:col>0</xdr:col>
      <xdr:colOff>628650</xdr:colOff>
      <xdr:row>37</xdr:row>
      <xdr:rowOff>285750</xdr:rowOff>
    </xdr:to>
    <xdr:pic>
      <xdr:nvPicPr>
        <xdr:cNvPr id="18" name="Рисунок 1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39458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0</xdr:col>
      <xdr:colOff>866775</xdr:colOff>
      <xdr:row>39</xdr:row>
      <xdr:rowOff>333375</xdr:rowOff>
    </xdr:to>
    <xdr:pic>
      <xdr:nvPicPr>
        <xdr:cNvPr id="19" name="Рисунок 1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51735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226219</xdr:colOff>
      <xdr:row>67</xdr:row>
      <xdr:rowOff>11906</xdr:rowOff>
    </xdr:from>
    <xdr:to>
      <xdr:col>2</xdr:col>
      <xdr:colOff>1435894</xdr:colOff>
      <xdr:row>68</xdr:row>
      <xdr:rowOff>71438</xdr:rowOff>
    </xdr:to>
    <xdr:pic>
      <xdr:nvPicPr>
        <xdr:cNvPr id="20" name="Рисунок 19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5907" y="26086594"/>
          <a:ext cx="2674143" cy="404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83344</xdr:colOff>
      <xdr:row>68</xdr:row>
      <xdr:rowOff>190499</xdr:rowOff>
    </xdr:from>
    <xdr:ext cx="1028245" cy="392907"/>
    <xdr:pic>
      <xdr:nvPicPr>
        <xdr:cNvPr id="21" name="Рисунок 20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83344" y="26610468"/>
          <a:ext cx="1028245" cy="392907"/>
        </a:xfrm>
        <a:prstGeom prst="rect">
          <a:avLst/>
        </a:prstGeom>
      </xdr:spPr>
    </xdr:pic>
    <xdr:clientData/>
  </xdr:oneCellAnchor>
  <xdr:twoCellAnchor>
    <xdr:from>
      <xdr:col>0</xdr:col>
      <xdr:colOff>83344</xdr:colOff>
      <xdr:row>71</xdr:row>
      <xdr:rowOff>0</xdr:rowOff>
    </xdr:from>
    <xdr:to>
      <xdr:col>0</xdr:col>
      <xdr:colOff>821531</xdr:colOff>
      <xdr:row>72</xdr:row>
      <xdr:rowOff>18870</xdr:rowOff>
    </xdr:to>
    <xdr:pic>
      <xdr:nvPicPr>
        <xdr:cNvPr id="22" name="Рисунок 21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4" y="27193875"/>
          <a:ext cx="738187" cy="3760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47625</xdr:colOff>
      <xdr:row>73</xdr:row>
      <xdr:rowOff>154782</xdr:rowOff>
    </xdr:from>
    <xdr:to>
      <xdr:col>0</xdr:col>
      <xdr:colOff>1204234</xdr:colOff>
      <xdr:row>73</xdr:row>
      <xdr:rowOff>523876</xdr:rowOff>
    </xdr:to>
    <xdr:pic>
      <xdr:nvPicPr>
        <xdr:cNvPr id="23" name="Рисунок 22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7884438"/>
          <a:ext cx="1156609" cy="3690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2%20&#1075;&#1086;&#1076;/&#1055;&#1088;&#1086;&#1090;&#1086;&#1082;&#1086;&#1083;%20&#8470;%209%20&#1086;&#1090;%2015.07.2022/&#1055;&#1088;&#1080;&#1083;&#1086;&#1078;&#1077;&#1085;&#1080;&#1077;%20&#1082;%20&#1074;&#1086;&#1087;&#1088;&#1086;&#1089;&#1091;%20&#8470;%2009-05%20(&#1056;&#1077;&#1079;&#1091;&#1083;&#1100;&#1090;&#1072;&#1090;&#1080;&#1074;&#1085;&#1086;&#1089;&#1090;&#1100;)/&#1054;&#1094;&#1077;&#1085;&#1082;&#1072;%20&#1056;&#1077;&#1079;&#1091;&#1083;&#1100;&#1090;&#1072;&#1090;&#1080;&#1074;&#1085;&#1086;&#1089;&#1090;&#1080;%20&#1079;&#1072;%201%20&#1087;&#1086;&#1083;&#1091;&#1075;&#1086;&#1076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Р_1_Городская пол-ка"/>
      <sheetName val="ПР-1_МОДБ"/>
      <sheetName val="ПР_1_МОБ"/>
      <sheetName val="ПР_2_Ранжирование"/>
      <sheetName val="ПР_3 ОБЪЕМ СРЕДСТВ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52"/>
  <sheetViews>
    <sheetView view="pageBreakPreview" zoomScale="70" zoomScaleNormal="80" zoomScaleSheetLayoutView="70" workbookViewId="0">
      <selection activeCell="A2" sqref="A2:A7"/>
    </sheetView>
  </sheetViews>
  <sheetFormatPr defaultRowHeight="15" x14ac:dyDescent="0.25"/>
  <cols>
    <col min="1" max="1" width="9.42578125" style="1" customWidth="1"/>
    <col min="2" max="2" width="28.42578125" style="2" customWidth="1"/>
    <col min="3" max="3" width="16" style="3" customWidth="1"/>
    <col min="4" max="4" width="16.7109375" customWidth="1"/>
    <col min="5" max="5" width="24.28515625" customWidth="1"/>
    <col min="6" max="8" width="19.85546875" customWidth="1"/>
    <col min="9" max="9" width="19.85546875" style="58" customWidth="1"/>
    <col min="10" max="11" width="19.85546875" customWidth="1"/>
    <col min="12" max="12" width="18" customWidth="1"/>
    <col min="13" max="13" width="13.7109375" customWidth="1"/>
    <col min="14" max="14" width="16" customWidth="1"/>
    <col min="15" max="15" width="16.7109375" customWidth="1"/>
    <col min="16" max="16" width="24.28515625" customWidth="1"/>
    <col min="17" max="17" width="19.85546875" style="58" customWidth="1"/>
    <col min="18" max="18" width="13.140625" customWidth="1"/>
  </cols>
  <sheetData>
    <row r="1" spans="1:23" ht="25.5" customHeight="1" thickBot="1" x14ac:dyDescent="0.3">
      <c r="A1" s="360" t="s">
        <v>192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  <c r="P1" s="360"/>
      <c r="Q1" s="360"/>
      <c r="R1" s="360"/>
    </row>
    <row r="2" spans="1:23" s="4" customFormat="1" ht="21.75" customHeight="1" x14ac:dyDescent="0.25">
      <c r="A2" s="361" t="s">
        <v>55</v>
      </c>
      <c r="B2" s="364" t="s">
        <v>54</v>
      </c>
      <c r="C2" s="367" t="s">
        <v>52</v>
      </c>
      <c r="D2" s="367"/>
      <c r="E2" s="367"/>
      <c r="F2" s="367"/>
      <c r="G2" s="367"/>
      <c r="H2" s="367"/>
      <c r="I2" s="367"/>
      <c r="J2" s="367"/>
      <c r="K2" s="367"/>
      <c r="L2" s="367"/>
      <c r="M2" s="368"/>
      <c r="N2" s="369" t="s">
        <v>1</v>
      </c>
      <c r="O2" s="367"/>
      <c r="P2" s="367"/>
      <c r="Q2" s="367"/>
      <c r="R2" s="368"/>
    </row>
    <row r="3" spans="1:23" s="6" customFormat="1" ht="12" customHeight="1" x14ac:dyDescent="0.2">
      <c r="A3" s="362"/>
      <c r="B3" s="365"/>
      <c r="C3" s="370" t="s">
        <v>33</v>
      </c>
      <c r="D3" s="352" t="s">
        <v>34</v>
      </c>
      <c r="E3" s="352" t="s">
        <v>35</v>
      </c>
      <c r="F3" s="352" t="s">
        <v>36</v>
      </c>
      <c r="G3" s="352" t="s">
        <v>42</v>
      </c>
      <c r="H3" s="352" t="s">
        <v>43</v>
      </c>
      <c r="I3" s="354" t="s">
        <v>31</v>
      </c>
      <c r="J3" s="352" t="s">
        <v>29</v>
      </c>
      <c r="K3" s="352" t="s">
        <v>30</v>
      </c>
      <c r="L3" s="352" t="s">
        <v>32</v>
      </c>
      <c r="M3" s="359" t="s">
        <v>0</v>
      </c>
      <c r="N3" s="351" t="s">
        <v>33</v>
      </c>
      <c r="O3" s="352" t="s">
        <v>34</v>
      </c>
      <c r="P3" s="352" t="s">
        <v>35</v>
      </c>
      <c r="Q3" s="354" t="s">
        <v>31</v>
      </c>
      <c r="R3" s="359" t="s">
        <v>0</v>
      </c>
    </row>
    <row r="4" spans="1:23" s="6" customFormat="1" ht="12" customHeight="1" x14ac:dyDescent="0.2">
      <c r="A4" s="362"/>
      <c r="B4" s="365"/>
      <c r="C4" s="370"/>
      <c r="D4" s="352"/>
      <c r="E4" s="352"/>
      <c r="F4" s="352"/>
      <c r="G4" s="352"/>
      <c r="H4" s="352"/>
      <c r="I4" s="354"/>
      <c r="J4" s="352"/>
      <c r="K4" s="352"/>
      <c r="L4" s="352"/>
      <c r="M4" s="359"/>
      <c r="N4" s="351"/>
      <c r="O4" s="352"/>
      <c r="P4" s="352"/>
      <c r="Q4" s="354"/>
      <c r="R4" s="359"/>
    </row>
    <row r="5" spans="1:23" s="6" customFormat="1" ht="64.5" customHeight="1" x14ac:dyDescent="0.2">
      <c r="A5" s="362"/>
      <c r="B5" s="365"/>
      <c r="C5" s="370"/>
      <c r="D5" s="352"/>
      <c r="E5" s="352"/>
      <c r="F5" s="352"/>
      <c r="G5" s="352"/>
      <c r="H5" s="352"/>
      <c r="I5" s="354"/>
      <c r="J5" s="352"/>
      <c r="K5" s="352"/>
      <c r="L5" s="352"/>
      <c r="M5" s="359"/>
      <c r="N5" s="351"/>
      <c r="O5" s="352"/>
      <c r="P5" s="352"/>
      <c r="Q5" s="354"/>
      <c r="R5" s="359"/>
    </row>
    <row r="6" spans="1:23" s="6" customFormat="1" ht="15" customHeight="1" x14ac:dyDescent="0.2">
      <c r="A6" s="362"/>
      <c r="B6" s="365"/>
      <c r="C6" s="371" t="s">
        <v>27</v>
      </c>
      <c r="D6" s="371"/>
      <c r="E6" s="371"/>
      <c r="F6" s="371"/>
      <c r="G6" s="371"/>
      <c r="H6" s="371"/>
      <c r="I6" s="371"/>
      <c r="J6" s="371"/>
      <c r="K6" s="371"/>
      <c r="L6" s="371"/>
      <c r="M6" s="371"/>
      <c r="N6" s="371"/>
      <c r="O6" s="371"/>
      <c r="P6" s="371"/>
      <c r="Q6" s="371"/>
      <c r="R6" s="372"/>
    </row>
    <row r="7" spans="1:23" s="6" customFormat="1" ht="207.75" customHeight="1" x14ac:dyDescent="0.2">
      <c r="A7" s="363"/>
      <c r="B7" s="366"/>
      <c r="C7" s="29" t="s">
        <v>47</v>
      </c>
      <c r="D7" s="26" t="s">
        <v>47</v>
      </c>
      <c r="E7" s="26" t="s">
        <v>46</v>
      </c>
      <c r="F7" s="26" t="s">
        <v>53</v>
      </c>
      <c r="G7" s="26" t="s">
        <v>51</v>
      </c>
      <c r="H7" s="26" t="s">
        <v>49</v>
      </c>
      <c r="I7" s="51" t="s">
        <v>50</v>
      </c>
      <c r="J7" s="26" t="s">
        <v>44</v>
      </c>
      <c r="K7" s="26" t="s">
        <v>44</v>
      </c>
      <c r="L7" s="7" t="s">
        <v>41</v>
      </c>
      <c r="M7" s="8"/>
      <c r="N7" s="28" t="s">
        <v>47</v>
      </c>
      <c r="O7" s="26" t="s">
        <v>47</v>
      </c>
      <c r="P7" s="26" t="s">
        <v>48</v>
      </c>
      <c r="Q7" s="60" t="s">
        <v>45</v>
      </c>
      <c r="R7" s="8"/>
    </row>
    <row r="8" spans="1:23" s="22" customFormat="1" x14ac:dyDescent="0.25">
      <c r="A8" s="20">
        <v>1</v>
      </c>
      <c r="B8" s="20">
        <v>2</v>
      </c>
      <c r="C8" s="21">
        <v>3</v>
      </c>
      <c r="D8" s="20">
        <v>4</v>
      </c>
      <c r="E8" s="21">
        <v>5</v>
      </c>
      <c r="F8" s="20">
        <v>6</v>
      </c>
      <c r="G8" s="21">
        <v>7</v>
      </c>
      <c r="H8" s="20">
        <v>8</v>
      </c>
      <c r="I8" s="50">
        <v>9</v>
      </c>
      <c r="J8" s="20">
        <v>10</v>
      </c>
      <c r="K8" s="21">
        <v>11</v>
      </c>
      <c r="L8" s="20">
        <v>12</v>
      </c>
      <c r="M8" s="21">
        <v>13</v>
      </c>
      <c r="N8" s="20">
        <v>14</v>
      </c>
      <c r="O8" s="21">
        <v>15</v>
      </c>
      <c r="P8" s="20">
        <v>16</v>
      </c>
      <c r="Q8" s="59">
        <v>17</v>
      </c>
      <c r="R8" s="20">
        <v>18</v>
      </c>
    </row>
    <row r="9" spans="1:23" ht="15" customHeight="1" x14ac:dyDescent="0.25">
      <c r="A9" s="24"/>
      <c r="B9" s="25"/>
      <c r="C9" s="355" t="s">
        <v>56</v>
      </c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  <c r="O9" s="355"/>
      <c r="P9" s="355"/>
      <c r="Q9" s="355"/>
      <c r="R9" s="356"/>
    </row>
    <row r="10" spans="1:23" s="37" customFormat="1" ht="60" x14ac:dyDescent="0.25">
      <c r="A10" s="34">
        <v>1</v>
      </c>
      <c r="B10" s="35" t="s">
        <v>2</v>
      </c>
      <c r="C10" s="96">
        <f>МОБ!C15+МОЦОМиД!C15+'Городская поликлиника'!C15</f>
        <v>48859</v>
      </c>
      <c r="D10" s="95">
        <f>МОБ!D15+МОЦОМиД!D15+'Городская поликлиника'!D15</f>
        <v>456174</v>
      </c>
      <c r="E10" s="63">
        <f>IFERROR(ROUND(C10/D10,9),0)</f>
        <v>0.10710606</v>
      </c>
      <c r="F10" s="64" t="s">
        <v>28</v>
      </c>
      <c r="G10" s="63">
        <f>IFERROR(ROUND((E10/P10*100-100),9),0)</f>
        <v>19.179437580999998</v>
      </c>
      <c r="H10" s="64" t="s">
        <v>28</v>
      </c>
      <c r="I10" s="65">
        <v>1</v>
      </c>
      <c r="J10" s="62">
        <v>1</v>
      </c>
      <c r="K10" s="62"/>
      <c r="L10" s="62">
        <v>1</v>
      </c>
      <c r="M10" s="66"/>
      <c r="N10" s="94">
        <f>МОБ!N15+МОЦОМиД!N15+'Городская поликлиника'!N15</f>
        <v>34330</v>
      </c>
      <c r="O10" s="95">
        <f>МОБ!O15+МОЦОМиД!O15+'Городская поликлиника'!O15</f>
        <v>381998</v>
      </c>
      <c r="P10" s="63">
        <f t="shared" ref="P10:P14" si="0">IFERROR(ROUND(N10/O10,9),0)</f>
        <v>8.9869580000000004E-2</v>
      </c>
      <c r="Q10" s="68"/>
      <c r="R10" s="66"/>
      <c r="T10" s="37">
        <f>МОБ!T15+'Городская поликлиника'!T15</f>
        <v>2</v>
      </c>
      <c r="U10" s="37">
        <f>МОБ!U15+'Городская поликлиника'!U15</f>
        <v>1</v>
      </c>
      <c r="V10" s="37">
        <f>T10/U10</f>
        <v>2</v>
      </c>
      <c r="W10" s="37">
        <f>P10/V10*100-100</f>
        <v>-95.506520999999992</v>
      </c>
    </row>
    <row r="11" spans="1:23" ht="120" x14ac:dyDescent="0.25">
      <c r="A11" s="9">
        <v>2</v>
      </c>
      <c r="B11" s="10" t="s">
        <v>3</v>
      </c>
      <c r="C11" s="69">
        <f>МОБ!C16+МОЦОМиД!C16+'Городская поликлиника'!C16</f>
        <v>319</v>
      </c>
      <c r="D11" s="70">
        <f>МОБ!D16+МОЦОМиД!D16+'Городская поликлиника'!D16</f>
        <v>1499</v>
      </c>
      <c r="E11" s="71">
        <f t="shared" ref="E11:E22" si="1">IFERROR(ROUND(C11/D11,9),0)</f>
        <v>0.21280853899999999</v>
      </c>
      <c r="F11" s="72" t="s">
        <v>28</v>
      </c>
      <c r="G11" s="73">
        <f t="shared" ref="G11:G17" si="2">IFERROR(ROUND((E11/P11*100-100),9),0)</f>
        <v>-30.742559063000002</v>
      </c>
      <c r="H11" s="72" t="s">
        <v>28</v>
      </c>
      <c r="I11" s="74">
        <v>0</v>
      </c>
      <c r="J11" s="70"/>
      <c r="K11" s="70"/>
      <c r="L11" s="70">
        <v>1</v>
      </c>
      <c r="M11" s="75"/>
      <c r="N11" s="69">
        <f>МОБ!N16+МОЦОМиД!N16+'Городская поликлиника'!N16</f>
        <v>562</v>
      </c>
      <c r="O11" s="70">
        <f>МОБ!O16+МОЦОМиД!O16+'Городская поликлиника'!O16</f>
        <v>1829</v>
      </c>
      <c r="P11" s="73">
        <f t="shared" si="0"/>
        <v>0.30727173299999999</v>
      </c>
      <c r="Q11" s="76"/>
      <c r="R11" s="75"/>
    </row>
    <row r="12" spans="1:23" ht="120" x14ac:dyDescent="0.25">
      <c r="A12" s="9">
        <v>3</v>
      </c>
      <c r="B12" s="10" t="s">
        <v>4</v>
      </c>
      <c r="C12" s="69">
        <f>МОБ!C17+МОЦОМиД!C17+'Городская поликлиника'!C17</f>
        <v>2</v>
      </c>
      <c r="D12" s="70">
        <f>МОБ!D17+МОЦОМиД!D17+'Городская поликлиника'!D17</f>
        <v>266</v>
      </c>
      <c r="E12" s="77">
        <f t="shared" si="1"/>
        <v>7.5187969999999998E-3</v>
      </c>
      <c r="F12" s="70" t="s">
        <v>28</v>
      </c>
      <c r="G12" s="73">
        <f t="shared" si="2"/>
        <v>-30.325815071000001</v>
      </c>
      <c r="H12" s="70" t="s">
        <v>28</v>
      </c>
      <c r="I12" s="85">
        <v>0</v>
      </c>
      <c r="J12" s="70"/>
      <c r="K12" s="70"/>
      <c r="L12" s="86">
        <v>2</v>
      </c>
      <c r="M12" s="75"/>
      <c r="N12" s="69">
        <f>МОБ!N17+МОЦОМиД!N17+'Городская поликлиника'!N17</f>
        <v>3</v>
      </c>
      <c r="O12" s="70">
        <f>МОБ!O17+МОЦОМиД!O17+'Городская поликлиника'!O17</f>
        <v>278</v>
      </c>
      <c r="P12" s="73">
        <f t="shared" si="0"/>
        <v>1.0791367E-2</v>
      </c>
      <c r="Q12" s="76"/>
      <c r="R12" s="75"/>
    </row>
    <row r="13" spans="1:23" ht="132" x14ac:dyDescent="0.25">
      <c r="A13" s="9">
        <v>4</v>
      </c>
      <c r="B13" s="10" t="s">
        <v>5</v>
      </c>
      <c r="C13" s="69">
        <f>МОБ!C18+МОЦОМиД!C18+'Городская поликлиника'!C18</f>
        <v>13</v>
      </c>
      <c r="D13" s="70">
        <f>МОБ!D18+МОЦОМиД!D18+'Городская поликлиника'!D18</f>
        <v>68</v>
      </c>
      <c r="E13" s="77">
        <f t="shared" si="1"/>
        <v>0.19117647099999999</v>
      </c>
      <c r="F13" s="70" t="s">
        <v>28</v>
      </c>
      <c r="G13" s="73">
        <f t="shared" si="2"/>
        <v>-44.063180723999999</v>
      </c>
      <c r="H13" s="70" t="s">
        <v>28</v>
      </c>
      <c r="I13" s="76">
        <v>0</v>
      </c>
      <c r="J13" s="70">
        <v>0</v>
      </c>
      <c r="K13" s="70"/>
      <c r="L13" s="70">
        <v>1</v>
      </c>
      <c r="M13" s="75"/>
      <c r="N13" s="69">
        <f>МОБ!N18+МОЦОМиД!N18+'Городская поликлиника'!N18</f>
        <v>27</v>
      </c>
      <c r="O13" s="70">
        <f>МОБ!O18+МОЦОМиД!O18+'Городская поликлиника'!O18</f>
        <v>79</v>
      </c>
      <c r="P13" s="73">
        <f t="shared" si="0"/>
        <v>0.341772152</v>
      </c>
      <c r="Q13" s="76"/>
      <c r="R13" s="75"/>
    </row>
    <row r="14" spans="1:23" ht="114.75" customHeight="1" x14ac:dyDescent="0.25">
      <c r="A14" s="9">
        <v>5</v>
      </c>
      <c r="B14" s="10" t="s">
        <v>6</v>
      </c>
      <c r="C14" s="69">
        <f>МОБ!C19+МОЦОМиД!C19+'Городская поликлиника'!C19</f>
        <v>127</v>
      </c>
      <c r="D14" s="70">
        <f>МОБ!D19+МОЦОМиД!D19+'Городская поликлиника'!D19</f>
        <v>428</v>
      </c>
      <c r="E14" s="77">
        <f t="shared" si="1"/>
        <v>0.29672897199999998</v>
      </c>
      <c r="F14" s="70" t="s">
        <v>28</v>
      </c>
      <c r="G14" s="73">
        <f t="shared" si="2"/>
        <v>-28.785046777000002</v>
      </c>
      <c r="H14" s="70" t="s">
        <v>28</v>
      </c>
      <c r="I14" s="76">
        <v>0</v>
      </c>
      <c r="J14" s="70">
        <v>0</v>
      </c>
      <c r="K14" s="70"/>
      <c r="L14" s="70">
        <v>1</v>
      </c>
      <c r="M14" s="75"/>
      <c r="N14" s="69">
        <f>МОБ!N19+МОЦОМиД!N19+'Городская поликлиника'!N19</f>
        <v>155</v>
      </c>
      <c r="O14" s="70">
        <f>МОБ!O19+МОЦОМиД!O19+'Городская поликлиника'!O19</f>
        <v>372</v>
      </c>
      <c r="P14" s="73">
        <f t="shared" si="0"/>
        <v>0.41666666699999999</v>
      </c>
      <c r="Q14" s="76">
        <v>0</v>
      </c>
      <c r="R14" s="75"/>
    </row>
    <row r="15" spans="1:23" s="32" customFormat="1" ht="60" x14ac:dyDescent="0.25">
      <c r="A15" s="30">
        <v>6</v>
      </c>
      <c r="B15" s="31" t="s">
        <v>7</v>
      </c>
      <c r="C15" s="78">
        <f>МОБ!C20+МОЦОМиД!C20+'Городская поликлиника'!C20</f>
        <v>1800</v>
      </c>
      <c r="D15" s="79">
        <f>МОБ!D20+МОЦОМиД!D20+'Городская поликлиника'!D20</f>
        <v>1800</v>
      </c>
      <c r="E15" s="80">
        <f t="shared" si="1"/>
        <v>1</v>
      </c>
      <c r="F15" s="79">
        <v>0.95</v>
      </c>
      <c r="G15" s="79" t="s">
        <v>28</v>
      </c>
      <c r="H15" s="81">
        <f>IFERROR(ROUND(E15/F15,9),0)</f>
        <v>1.052631579</v>
      </c>
      <c r="I15" s="82">
        <v>2</v>
      </c>
      <c r="J15" s="79" t="s">
        <v>28</v>
      </c>
      <c r="K15" s="79"/>
      <c r="L15" s="79">
        <v>1</v>
      </c>
      <c r="M15" s="83"/>
      <c r="N15" s="79" t="s">
        <v>28</v>
      </c>
      <c r="O15" s="79" t="s">
        <v>28</v>
      </c>
      <c r="P15" s="79" t="s">
        <v>28</v>
      </c>
      <c r="Q15" s="82" t="s">
        <v>28</v>
      </c>
      <c r="R15" s="83"/>
    </row>
    <row r="16" spans="1:23" ht="132" x14ac:dyDescent="0.25">
      <c r="A16" s="9">
        <v>7</v>
      </c>
      <c r="B16" s="10" t="s">
        <v>8</v>
      </c>
      <c r="C16" s="69">
        <f>МОБ!C21+МОЦОМиД!C21+'Городская поликлиника'!C21</f>
        <v>12639</v>
      </c>
      <c r="D16" s="70">
        <f>МОБ!D21+МОЦОМиД!D21+'Городская поликлиника'!D21</f>
        <v>18369</v>
      </c>
      <c r="E16" s="77">
        <f t="shared" si="1"/>
        <v>0.68806140800000004</v>
      </c>
      <c r="F16" s="70" t="s">
        <v>28</v>
      </c>
      <c r="G16" s="73">
        <f t="shared" si="2"/>
        <v>13.161221628</v>
      </c>
      <c r="H16" s="70" t="s">
        <v>28</v>
      </c>
      <c r="I16" s="76">
        <v>2</v>
      </c>
      <c r="J16" s="70">
        <v>1</v>
      </c>
      <c r="K16" s="70"/>
      <c r="L16" s="70">
        <v>1</v>
      </c>
      <c r="M16" s="75"/>
      <c r="N16" s="69">
        <f>МОБ!N21+МОЦОМиД!N21+'Городская поликлиника'!N21</f>
        <v>9624</v>
      </c>
      <c r="O16" s="70">
        <f>МОБ!O21+МОЦОМиД!O21+'Городская поликлиника'!O21</f>
        <v>15828</v>
      </c>
      <c r="P16" s="73">
        <f t="shared" ref="P16:P17" si="3">IFERROR(ROUND(N16/O16,9),0)</f>
        <v>0.60803639099999995</v>
      </c>
      <c r="Q16" s="76">
        <v>0</v>
      </c>
      <c r="R16" s="75"/>
    </row>
    <row r="17" spans="1:18" ht="144" x14ac:dyDescent="0.25">
      <c r="A17" s="9">
        <v>8</v>
      </c>
      <c r="B17" s="10" t="s">
        <v>15</v>
      </c>
      <c r="C17" s="69">
        <f>МОБ!C22+МОЦОМиД!C22+'Городская поликлиника'!C22</f>
        <v>6368</v>
      </c>
      <c r="D17" s="70">
        <f>МОБ!D22+МОЦОМиД!D22+'Городская поликлиника'!D22</f>
        <v>18369</v>
      </c>
      <c r="E17" s="77">
        <f t="shared" si="1"/>
        <v>0.346671022</v>
      </c>
      <c r="F17" s="70" t="s">
        <v>28</v>
      </c>
      <c r="G17" s="73">
        <f t="shared" si="2"/>
        <v>-15.906376388</v>
      </c>
      <c r="H17" s="70" t="s">
        <v>28</v>
      </c>
      <c r="I17" s="76">
        <v>0</v>
      </c>
      <c r="J17" s="70">
        <v>0</v>
      </c>
      <c r="K17" s="70">
        <v>0</v>
      </c>
      <c r="L17" s="70">
        <v>1</v>
      </c>
      <c r="M17" s="75"/>
      <c r="N17" s="69">
        <f>МОБ!N22+МОЦОМиД!N22+'Городская поликлиника'!N22</f>
        <v>6525</v>
      </c>
      <c r="O17" s="70">
        <f>МОБ!O22+МОЦОМиД!O22+'Городская поликлиника'!O22</f>
        <v>15828</v>
      </c>
      <c r="P17" s="73">
        <f t="shared" si="3"/>
        <v>0.41224412399999999</v>
      </c>
      <c r="Q17" s="76">
        <v>0</v>
      </c>
      <c r="R17" s="75"/>
    </row>
    <row r="18" spans="1:18" ht="108" x14ac:dyDescent="0.25">
      <c r="A18" s="9">
        <v>9</v>
      </c>
      <c r="B18" s="10" t="s">
        <v>14</v>
      </c>
      <c r="C18" s="69">
        <f>МОБ!C23+МОЦОМиД!C23+'Городская поликлиника'!C23</f>
        <v>444</v>
      </c>
      <c r="D18" s="70">
        <f>МОБ!D23+МОЦОМиД!D23+'Городская поликлиника'!D23</f>
        <v>1499</v>
      </c>
      <c r="E18" s="77">
        <f t="shared" si="1"/>
        <v>0.29619746499999999</v>
      </c>
      <c r="F18" s="70">
        <v>0.8</v>
      </c>
      <c r="G18" s="70" t="s">
        <v>28</v>
      </c>
      <c r="H18" s="70">
        <f>E18/F18</f>
        <v>0.37024683124999996</v>
      </c>
      <c r="I18" s="76">
        <v>0</v>
      </c>
      <c r="J18" s="70" t="s">
        <v>28</v>
      </c>
      <c r="K18" s="70">
        <v>0</v>
      </c>
      <c r="L18" s="70">
        <v>1</v>
      </c>
      <c r="M18" s="75"/>
      <c r="N18" s="70" t="s">
        <v>28</v>
      </c>
      <c r="O18" s="70" t="s">
        <v>28</v>
      </c>
      <c r="P18" s="70" t="s">
        <v>28</v>
      </c>
      <c r="Q18" s="76" t="s">
        <v>28</v>
      </c>
      <c r="R18" s="75"/>
    </row>
    <row r="19" spans="1:18" ht="120" x14ac:dyDescent="0.25">
      <c r="A19" s="9">
        <v>10</v>
      </c>
      <c r="B19" s="10" t="s">
        <v>13</v>
      </c>
      <c r="C19" s="69">
        <f>МОБ!C24+МОЦОМиД!C24+'Городская поликлиника'!C24</f>
        <v>18</v>
      </c>
      <c r="D19" s="70">
        <f>МОБ!D24+МОЦОМиД!D24+'Городская поликлиника'!D24</f>
        <v>68</v>
      </c>
      <c r="E19" s="77">
        <f t="shared" si="1"/>
        <v>0.264705882</v>
      </c>
      <c r="F19" s="70">
        <v>0.8</v>
      </c>
      <c r="G19" s="70" t="s">
        <v>28</v>
      </c>
      <c r="H19" s="70">
        <f t="shared" ref="H19:H20" si="4">E19/F19</f>
        <v>0.33088235249999998</v>
      </c>
      <c r="I19" s="76">
        <v>0</v>
      </c>
      <c r="J19" s="70" t="s">
        <v>28</v>
      </c>
      <c r="K19" s="70">
        <v>0</v>
      </c>
      <c r="L19" s="70">
        <v>1</v>
      </c>
      <c r="M19" s="75"/>
      <c r="N19" s="70" t="s">
        <v>28</v>
      </c>
      <c r="O19" s="70" t="s">
        <v>28</v>
      </c>
      <c r="P19" s="70" t="s">
        <v>28</v>
      </c>
      <c r="Q19" s="76" t="s">
        <v>28</v>
      </c>
      <c r="R19" s="75"/>
    </row>
    <row r="20" spans="1:18" ht="96" x14ac:dyDescent="0.25">
      <c r="A20" s="9">
        <v>11</v>
      </c>
      <c r="B20" s="10" t="s">
        <v>12</v>
      </c>
      <c r="C20" s="69">
        <f>МОБ!C25+МОЦОМиД!C25+'Городская поликлиника'!C25</f>
        <v>343</v>
      </c>
      <c r="D20" s="70">
        <f>МОБ!D25+МОЦОМиД!D25+'Городская поликлиника'!D25</f>
        <v>428</v>
      </c>
      <c r="E20" s="77">
        <f t="shared" si="1"/>
        <v>0.80140186899999999</v>
      </c>
      <c r="F20" s="70">
        <v>0.8</v>
      </c>
      <c r="G20" s="70" t="s">
        <v>28</v>
      </c>
      <c r="H20" s="70">
        <f t="shared" si="4"/>
        <v>1.0017523362499998</v>
      </c>
      <c r="I20" s="76">
        <v>0</v>
      </c>
      <c r="J20" s="70" t="s">
        <v>28</v>
      </c>
      <c r="K20" s="70">
        <v>0</v>
      </c>
      <c r="L20" s="70">
        <v>1</v>
      </c>
      <c r="M20" s="75"/>
      <c r="N20" s="70" t="s">
        <v>28</v>
      </c>
      <c r="O20" s="70" t="s">
        <v>28</v>
      </c>
      <c r="P20" s="70" t="s">
        <v>28</v>
      </c>
      <c r="Q20" s="76" t="s">
        <v>28</v>
      </c>
      <c r="R20" s="75"/>
    </row>
    <row r="21" spans="1:18" ht="132" x14ac:dyDescent="0.25">
      <c r="A21" s="9">
        <v>12</v>
      </c>
      <c r="B21" s="10" t="s">
        <v>11</v>
      </c>
      <c r="C21" s="69">
        <f>МОБ!C26+МОЦОМиД!C26+'Городская поликлиника'!C26</f>
        <v>536</v>
      </c>
      <c r="D21" s="70">
        <f>МОБ!D26+МОЦОМиД!D26+'Городская поликлиника'!D26</f>
        <v>44557</v>
      </c>
      <c r="E21" s="77">
        <f t="shared" si="1"/>
        <v>1.2029534999999999E-2</v>
      </c>
      <c r="F21" s="70" t="s">
        <v>28</v>
      </c>
      <c r="G21" s="73">
        <f t="shared" ref="G21:G23" si="5">IFERROR(ROUND((E21/P21*100-100),9),0)</f>
        <v>-3.2490980829999998</v>
      </c>
      <c r="H21" s="70" t="s">
        <v>28</v>
      </c>
      <c r="I21" s="76">
        <v>0</v>
      </c>
      <c r="J21" s="70">
        <v>0</v>
      </c>
      <c r="K21" s="70">
        <v>0</v>
      </c>
      <c r="L21" s="70">
        <v>1</v>
      </c>
      <c r="M21" s="75"/>
      <c r="N21" s="69">
        <f>МОБ!N26+МОЦОМиД!N26+'Городская поликлиника'!N26</f>
        <v>554</v>
      </c>
      <c r="O21" s="70">
        <f>МОБ!O26+МОЦОМиД!O26+'Городская поликлиника'!O26</f>
        <v>44557</v>
      </c>
      <c r="P21" s="73">
        <f t="shared" ref="P21:P22" si="6">IFERROR(ROUND(N21/O21,9),0)</f>
        <v>1.2433512000000001E-2</v>
      </c>
      <c r="Q21" s="76">
        <v>0</v>
      </c>
      <c r="R21" s="75"/>
    </row>
    <row r="22" spans="1:18" ht="118.5" customHeight="1" x14ac:dyDescent="0.25">
      <c r="A22" s="9">
        <v>13</v>
      </c>
      <c r="B22" s="10" t="s">
        <v>10</v>
      </c>
      <c r="C22" s="69">
        <f>МОБ!C27+МОЦОМиД!C27+'Городская поликлиника'!C27</f>
        <v>1155</v>
      </c>
      <c r="D22" s="70">
        <f>МОБ!D27+МОЦОМиД!D27+'Городская поликлиника'!D27</f>
        <v>2253</v>
      </c>
      <c r="E22" s="77">
        <f t="shared" si="1"/>
        <v>0.51264980000000004</v>
      </c>
      <c r="F22" s="70" t="s">
        <v>28</v>
      </c>
      <c r="G22" s="73">
        <f t="shared" si="5"/>
        <v>-6.5774038209999999</v>
      </c>
      <c r="H22" s="70" t="s">
        <v>28</v>
      </c>
      <c r="I22" s="76">
        <v>0</v>
      </c>
      <c r="J22" s="70">
        <v>0</v>
      </c>
      <c r="K22" s="70"/>
      <c r="L22" s="70">
        <v>1</v>
      </c>
      <c r="M22" s="75"/>
      <c r="N22" s="69">
        <f>МОБ!N27+МОЦОМиД!N27+'Городская поликлиника'!N27</f>
        <v>1244</v>
      </c>
      <c r="O22" s="70">
        <f>МОБ!O27+МОЦОМиД!O27+'Городская поликлиника'!O27</f>
        <v>2267</v>
      </c>
      <c r="P22" s="73">
        <f t="shared" si="6"/>
        <v>0.54874283199999996</v>
      </c>
      <c r="Q22" s="76">
        <v>0</v>
      </c>
      <c r="R22" s="75"/>
    </row>
    <row r="23" spans="1:18" ht="117" customHeight="1" x14ac:dyDescent="0.25">
      <c r="A23" s="9">
        <v>14</v>
      </c>
      <c r="B23" s="12" t="s">
        <v>9</v>
      </c>
      <c r="C23" s="69">
        <f>МОБ!C28+МОЦОМиД!C28+'Городская поликлиника'!C28</f>
        <v>932</v>
      </c>
      <c r="D23" s="70">
        <f>МОБ!D28+МОЦОМиД!D28+'Городская поликлиника'!D28</f>
        <v>3967</v>
      </c>
      <c r="E23" s="77">
        <f>IFERROR(ROUND(C23/D23,9),0)</f>
        <v>0.23493823999999999</v>
      </c>
      <c r="F23" s="70" t="s">
        <v>28</v>
      </c>
      <c r="G23" s="73">
        <f t="shared" si="5"/>
        <v>-2.9257442899999999</v>
      </c>
      <c r="H23" s="70" t="s">
        <v>28</v>
      </c>
      <c r="I23" s="76">
        <v>1</v>
      </c>
      <c r="J23" s="70">
        <v>1</v>
      </c>
      <c r="K23" s="70">
        <v>0</v>
      </c>
      <c r="L23" s="70">
        <v>1</v>
      </c>
      <c r="M23" s="75"/>
      <c r="N23" s="69">
        <f>МОБ!N28+МОЦОМиД!N28+'Городская поликлиника'!N28</f>
        <v>887</v>
      </c>
      <c r="O23" s="70">
        <f>МОБ!O28+МОЦОМиД!O28+'Городская поликлиника'!O28</f>
        <v>3665</v>
      </c>
      <c r="P23" s="73">
        <f>IFERROR(ROUND(N23/O23,9),0)</f>
        <v>0.24201909999999999</v>
      </c>
      <c r="Q23" s="76">
        <v>0</v>
      </c>
      <c r="R23" s="75"/>
    </row>
    <row r="24" spans="1:18" ht="18.75" x14ac:dyDescent="0.25">
      <c r="A24" s="13"/>
      <c r="B24" s="27"/>
      <c r="C24" s="357" t="s">
        <v>57</v>
      </c>
      <c r="D24" s="357"/>
      <c r="E24" s="357"/>
      <c r="F24" s="357"/>
      <c r="G24" s="357"/>
      <c r="H24" s="357"/>
      <c r="I24" s="357"/>
      <c r="J24" s="357"/>
      <c r="K24" s="357"/>
      <c r="L24" s="357"/>
      <c r="M24" s="357"/>
      <c r="N24" s="357"/>
      <c r="O24" s="357"/>
      <c r="P24" s="357"/>
      <c r="Q24" s="357"/>
      <c r="R24" s="358"/>
    </row>
    <row r="25" spans="1:18" s="32" customFormat="1" ht="36" x14ac:dyDescent="0.25">
      <c r="A25" s="30">
        <v>15</v>
      </c>
      <c r="B25" s="33" t="s">
        <v>16</v>
      </c>
      <c r="C25" s="78">
        <f>МОБ!C30+МОЦОМиД!C30+'Городская поликлиника'!C30</f>
        <v>14868</v>
      </c>
      <c r="D25" s="79">
        <f>МОБ!D30+МОЦОМиД!D30+'Городская поликлиника'!D30</f>
        <v>16047</v>
      </c>
      <c r="E25" s="81">
        <f t="shared" ref="E25:E30" si="7">IFERROR(ROUND(C25/D25,9),0)</f>
        <v>0.92652832299999999</v>
      </c>
      <c r="F25" s="79">
        <v>0.95</v>
      </c>
      <c r="G25" s="79" t="s">
        <v>28</v>
      </c>
      <c r="H25" s="79">
        <f t="shared" ref="H25:H30" si="8">IFERROR(ROUND(E25/F25,9),0)</f>
        <v>0.97529297199999998</v>
      </c>
      <c r="I25" s="82">
        <v>0</v>
      </c>
      <c r="J25" s="79" t="s">
        <v>28</v>
      </c>
      <c r="K25" s="79"/>
      <c r="L25" s="79">
        <v>1</v>
      </c>
      <c r="M25" s="83"/>
      <c r="N25" s="79" t="s">
        <v>28</v>
      </c>
      <c r="O25" s="79" t="s">
        <v>28</v>
      </c>
      <c r="P25" s="79" t="s">
        <v>28</v>
      </c>
      <c r="Q25" s="82" t="s">
        <v>28</v>
      </c>
      <c r="R25" s="83"/>
    </row>
    <row r="26" spans="1:18" ht="108" x14ac:dyDescent="0.25">
      <c r="A26" s="9">
        <v>16</v>
      </c>
      <c r="B26" s="12" t="s">
        <v>17</v>
      </c>
      <c r="C26" s="69">
        <f>МОБ!C31+МОЦОМиД!C31+'Городская поликлиника'!C31</f>
        <v>301</v>
      </c>
      <c r="D26" s="70">
        <f>МОБ!D31+МОЦОМиД!D31+'Городская поликлиника'!D31</f>
        <v>444</v>
      </c>
      <c r="E26" s="77">
        <f t="shared" si="7"/>
        <v>0.67792792800000001</v>
      </c>
      <c r="F26" s="70">
        <v>0.7</v>
      </c>
      <c r="G26" s="70" t="s">
        <v>28</v>
      </c>
      <c r="H26" s="73">
        <f t="shared" si="8"/>
        <v>0.96846846900000005</v>
      </c>
      <c r="I26" s="76">
        <v>0</v>
      </c>
      <c r="J26" s="70" t="s">
        <v>28</v>
      </c>
      <c r="K26" s="70"/>
      <c r="L26" s="70">
        <v>1</v>
      </c>
      <c r="M26" s="75"/>
      <c r="N26" s="70" t="s">
        <v>28</v>
      </c>
      <c r="O26" s="70" t="s">
        <v>28</v>
      </c>
      <c r="P26" s="70" t="s">
        <v>28</v>
      </c>
      <c r="Q26" s="76" t="s">
        <v>28</v>
      </c>
      <c r="R26" s="75"/>
    </row>
    <row r="27" spans="1:18" ht="96" x14ac:dyDescent="0.25">
      <c r="A27" s="9">
        <v>17</v>
      </c>
      <c r="B27" s="12" t="s">
        <v>18</v>
      </c>
      <c r="C27" s="69">
        <f>МОБ!C32+МОЦОМиД!C32+'Городская поликлиника'!C32</f>
        <v>113</v>
      </c>
      <c r="D27" s="70">
        <f>МОБ!D32+МОЦОМиД!D32+'Городская поликлиника'!D32</f>
        <v>402</v>
      </c>
      <c r="E27" s="77">
        <f t="shared" si="7"/>
        <v>0.28109452699999998</v>
      </c>
      <c r="F27" s="70">
        <v>0.7</v>
      </c>
      <c r="G27" s="70" t="s">
        <v>28</v>
      </c>
      <c r="H27" s="73">
        <f t="shared" si="8"/>
        <v>0.40156361000000002</v>
      </c>
      <c r="I27" s="76">
        <v>0</v>
      </c>
      <c r="J27" s="70" t="s">
        <v>28</v>
      </c>
      <c r="K27" s="70"/>
      <c r="L27" s="70">
        <v>1</v>
      </c>
      <c r="M27" s="75"/>
      <c r="N27" s="70" t="s">
        <v>28</v>
      </c>
      <c r="O27" s="70" t="s">
        <v>28</v>
      </c>
      <c r="P27" s="70" t="s">
        <v>28</v>
      </c>
      <c r="Q27" s="76" t="s">
        <v>28</v>
      </c>
      <c r="R27" s="75"/>
    </row>
    <row r="28" spans="1:18" ht="96" x14ac:dyDescent="0.25">
      <c r="A28" s="9">
        <v>18</v>
      </c>
      <c r="B28" s="12" t="s">
        <v>19</v>
      </c>
      <c r="C28" s="69">
        <f>МОБ!C33+МОЦОМиД!C33+'Городская поликлиника'!C33</f>
        <v>1195</v>
      </c>
      <c r="D28" s="70">
        <f>МОБ!D33+МОЦОМиД!D33+'Городская поликлиника'!D33</f>
        <v>4706</v>
      </c>
      <c r="E28" s="77">
        <f t="shared" si="7"/>
        <v>0.25393115199999999</v>
      </c>
      <c r="F28" s="70">
        <v>0.7</v>
      </c>
      <c r="G28" s="70" t="s">
        <v>28</v>
      </c>
      <c r="H28" s="73">
        <f t="shared" si="8"/>
        <v>0.36275878900000003</v>
      </c>
      <c r="I28" s="76">
        <v>0</v>
      </c>
      <c r="J28" s="70" t="s">
        <v>28</v>
      </c>
      <c r="K28" s="70"/>
      <c r="L28" s="70">
        <v>1</v>
      </c>
      <c r="M28" s="75"/>
      <c r="N28" s="70" t="s">
        <v>28</v>
      </c>
      <c r="O28" s="70" t="s">
        <v>28</v>
      </c>
      <c r="P28" s="70" t="s">
        <v>28</v>
      </c>
      <c r="Q28" s="76" t="s">
        <v>28</v>
      </c>
      <c r="R28" s="75"/>
    </row>
    <row r="29" spans="1:18" ht="96" x14ac:dyDescent="0.25">
      <c r="A29" s="9">
        <v>19</v>
      </c>
      <c r="B29" s="12" t="s">
        <v>20</v>
      </c>
      <c r="C29" s="69">
        <f>МОБ!C34+МОЦОМиД!C34+'Городская поликлиника'!C34</f>
        <v>143</v>
      </c>
      <c r="D29" s="70">
        <f>МОБ!D34+МОЦОМиД!D34+'Городская поликлиника'!D34</f>
        <v>202</v>
      </c>
      <c r="E29" s="77">
        <f t="shared" si="7"/>
        <v>0.70792079200000002</v>
      </c>
      <c r="F29" s="70">
        <v>0.7</v>
      </c>
      <c r="G29" s="70" t="s">
        <v>28</v>
      </c>
      <c r="H29" s="73">
        <f t="shared" si="8"/>
        <v>1.011315417</v>
      </c>
      <c r="I29" s="76">
        <v>0</v>
      </c>
      <c r="J29" s="70" t="s">
        <v>28</v>
      </c>
      <c r="K29" s="70"/>
      <c r="L29" s="70">
        <v>1</v>
      </c>
      <c r="M29" s="75"/>
      <c r="N29" s="70" t="s">
        <v>28</v>
      </c>
      <c r="O29" s="70" t="s">
        <v>28</v>
      </c>
      <c r="P29" s="70" t="s">
        <v>28</v>
      </c>
      <c r="Q29" s="76" t="s">
        <v>28</v>
      </c>
      <c r="R29" s="75"/>
    </row>
    <row r="30" spans="1:18" ht="132" x14ac:dyDescent="0.25">
      <c r="A30" s="9">
        <v>20</v>
      </c>
      <c r="B30" s="12" t="s">
        <v>21</v>
      </c>
      <c r="C30" s="69">
        <f>МОБ!C35+МОЦОМиД!C35+'Городская поликлиника'!C35</f>
        <v>548</v>
      </c>
      <c r="D30" s="70">
        <f>МОБ!D35+МОЦОМиД!D35+'Городская поликлиника'!D35</f>
        <v>650</v>
      </c>
      <c r="E30" s="77">
        <f t="shared" si="7"/>
        <v>0.84307692300000003</v>
      </c>
      <c r="F30" s="70">
        <v>0.7</v>
      </c>
      <c r="G30" s="70" t="s">
        <v>28</v>
      </c>
      <c r="H30" s="73">
        <f t="shared" si="8"/>
        <v>1.2043956039999999</v>
      </c>
      <c r="I30" s="76">
        <v>0</v>
      </c>
      <c r="J30" s="70" t="s">
        <v>28</v>
      </c>
      <c r="K30" s="70"/>
      <c r="L30" s="70">
        <v>1</v>
      </c>
      <c r="M30" s="75"/>
      <c r="N30" s="70" t="s">
        <v>28</v>
      </c>
      <c r="O30" s="70" t="s">
        <v>28</v>
      </c>
      <c r="P30" s="70" t="s">
        <v>28</v>
      </c>
      <c r="Q30" s="76" t="s">
        <v>28</v>
      </c>
      <c r="R30" s="75"/>
    </row>
    <row r="31" spans="1:18" ht="18.75" x14ac:dyDescent="0.25">
      <c r="A31" s="13"/>
      <c r="B31" s="27"/>
      <c r="C31" s="357" t="s">
        <v>58</v>
      </c>
      <c r="D31" s="357"/>
      <c r="E31" s="357"/>
      <c r="F31" s="357"/>
      <c r="G31" s="357"/>
      <c r="H31" s="357"/>
      <c r="I31" s="357"/>
      <c r="J31" s="357"/>
      <c r="K31" s="357"/>
      <c r="L31" s="357"/>
      <c r="M31" s="357"/>
      <c r="N31" s="357"/>
      <c r="O31" s="357"/>
      <c r="P31" s="357"/>
      <c r="Q31" s="357"/>
      <c r="R31" s="358"/>
    </row>
    <row r="32" spans="1:18" s="32" customFormat="1" ht="60" x14ac:dyDescent="0.25">
      <c r="A32" s="30">
        <v>21</v>
      </c>
      <c r="B32" s="31" t="s">
        <v>22</v>
      </c>
      <c r="C32" s="78">
        <f>МОБ!C37+МОЦОМиД!C37+'Городская поликлиника'!C37</f>
        <v>63</v>
      </c>
      <c r="D32" s="79">
        <f>МОБ!D37+МОЦОМиД!D37+'Городская поликлиника'!D37</f>
        <v>332</v>
      </c>
      <c r="E32" s="80">
        <f t="shared" ref="E32:E36" si="9">IFERROR(ROUND(C32/D32,9),0)</f>
        <v>0.18975903599999999</v>
      </c>
      <c r="F32" s="79" t="s">
        <v>28</v>
      </c>
      <c r="G32" s="81">
        <f t="shared" ref="G32:G35" si="10">IFERROR(ROUND((E32/P32*100-100),9),0)</f>
        <v>53.388554356</v>
      </c>
      <c r="H32" s="79" t="s">
        <v>28</v>
      </c>
      <c r="I32" s="82">
        <v>0</v>
      </c>
      <c r="J32" s="79"/>
      <c r="K32" s="79"/>
      <c r="L32" s="79">
        <v>1</v>
      </c>
      <c r="M32" s="83"/>
      <c r="N32" s="78">
        <f>МОБ!N37+МОЦОМиД!N37+'Городская поликлиника'!N37</f>
        <v>24</v>
      </c>
      <c r="O32" s="79">
        <f>МОБ!O37+МОЦОМиД!O37+'Городская поликлиника'!O37</f>
        <v>194</v>
      </c>
      <c r="P32" s="81">
        <f>IFERROR(ROUND(N32/O32,9),0)</f>
        <v>0.12371134</v>
      </c>
      <c r="Q32" s="82">
        <v>0</v>
      </c>
      <c r="R32" s="83"/>
    </row>
    <row r="33" spans="1:18" s="32" customFormat="1" ht="84" x14ac:dyDescent="0.25">
      <c r="A33" s="30">
        <v>22</v>
      </c>
      <c r="B33" s="31" t="s">
        <v>23</v>
      </c>
      <c r="C33" s="78">
        <f>МОБ!C38+МОЦОМиД!C38+'Городская поликлиника'!C38</f>
        <v>0</v>
      </c>
      <c r="D33" s="79">
        <f>МОБ!D38+МОЦОМиД!D38+'Городская поликлиника'!D38</f>
        <v>1214</v>
      </c>
      <c r="E33" s="80">
        <f t="shared" si="9"/>
        <v>0</v>
      </c>
      <c r="F33" s="79">
        <v>0.1</v>
      </c>
      <c r="G33" s="79" t="s">
        <v>28</v>
      </c>
      <c r="H33" s="81">
        <f t="shared" ref="H33" si="11">IFERROR(ROUND(E33/F33,9),0)</f>
        <v>0</v>
      </c>
      <c r="I33" s="82">
        <v>0</v>
      </c>
      <c r="J33" s="79" t="s">
        <v>28</v>
      </c>
      <c r="K33" s="79"/>
      <c r="L33" s="79">
        <v>1</v>
      </c>
      <c r="M33" s="83"/>
      <c r="N33" s="79" t="s">
        <v>28</v>
      </c>
      <c r="O33" s="79" t="s">
        <v>28</v>
      </c>
      <c r="P33" s="79" t="s">
        <v>28</v>
      </c>
      <c r="Q33" s="82" t="s">
        <v>28</v>
      </c>
      <c r="R33" s="83"/>
    </row>
    <row r="34" spans="1:18" ht="108" x14ac:dyDescent="0.25">
      <c r="A34" s="9">
        <v>23</v>
      </c>
      <c r="B34" s="10" t="s">
        <v>24</v>
      </c>
      <c r="C34" s="69">
        <f>МОБ!C39+МОЦОМиД!C39+'Городская поликлиника'!C39</f>
        <v>0</v>
      </c>
      <c r="D34" s="70">
        <f>МОБ!D39+МОЦОМиД!D39+'Городская поликлиника'!D39</f>
        <v>8</v>
      </c>
      <c r="E34" s="77">
        <f t="shared" si="9"/>
        <v>0</v>
      </c>
      <c r="F34" s="70" t="s">
        <v>28</v>
      </c>
      <c r="G34" s="73">
        <f t="shared" si="10"/>
        <v>0</v>
      </c>
      <c r="H34" s="70" t="s">
        <v>28</v>
      </c>
      <c r="I34" s="76">
        <v>0</v>
      </c>
      <c r="J34" s="70">
        <v>0</v>
      </c>
      <c r="K34" s="70">
        <v>0</v>
      </c>
      <c r="L34" s="70">
        <v>2</v>
      </c>
      <c r="M34" s="75"/>
      <c r="N34" s="69">
        <f>МОБ!N39+МОЦОМиД!N39+'Городская поликлиника'!N39</f>
        <v>0</v>
      </c>
      <c r="O34" s="86">
        <f>МОБ!O39+МОЦОМиД!O39+'Городская поликлиника'!O39</f>
        <v>17</v>
      </c>
      <c r="P34" s="73">
        <f>IFERROR(ROUND(N34/O34,9),0)</f>
        <v>0</v>
      </c>
      <c r="Q34" s="76">
        <v>0</v>
      </c>
      <c r="R34" s="75"/>
    </row>
    <row r="35" spans="1:18" ht="108" x14ac:dyDescent="0.25">
      <c r="A35" s="9">
        <v>24</v>
      </c>
      <c r="B35" s="10" t="s">
        <v>25</v>
      </c>
      <c r="C35" s="69">
        <f>МОБ!C40+МОЦОМиД!C40+'Городская поликлиника'!C40</f>
        <v>0</v>
      </c>
      <c r="D35" s="70">
        <f>МОБ!D40+МОЦОМиД!D40+'Городская поликлиника'!D40</f>
        <v>54</v>
      </c>
      <c r="E35" s="77">
        <f t="shared" si="9"/>
        <v>0</v>
      </c>
      <c r="F35" s="70" t="s">
        <v>28</v>
      </c>
      <c r="G35" s="73">
        <f t="shared" si="10"/>
        <v>0</v>
      </c>
      <c r="H35" s="70" t="s">
        <v>28</v>
      </c>
      <c r="I35" s="76">
        <v>0</v>
      </c>
      <c r="J35" s="70">
        <v>0</v>
      </c>
      <c r="K35" s="70">
        <v>0</v>
      </c>
      <c r="L35" s="70">
        <v>2</v>
      </c>
      <c r="M35" s="75"/>
      <c r="N35" s="69">
        <f>МОБ!N40+МОЦОМиД!N40+'Городская поликлиника'!N40</f>
        <v>0</v>
      </c>
      <c r="O35" s="86">
        <f>МОБ!O40+МОЦОМиД!O40+'Городская поликлиника'!O40</f>
        <v>38</v>
      </c>
      <c r="P35" s="73">
        <f>IFERROR(ROUND(N35/O35,9),0)</f>
        <v>0</v>
      </c>
      <c r="Q35" s="76">
        <v>0</v>
      </c>
      <c r="R35" s="75"/>
    </row>
    <row r="36" spans="1:18" s="32" customFormat="1" ht="84" x14ac:dyDescent="0.25">
      <c r="A36" s="30">
        <v>25</v>
      </c>
      <c r="B36" s="31" t="s">
        <v>26</v>
      </c>
      <c r="C36" s="78">
        <f>МОБ!C41+МОЦОМиД!C41+'Городская поликлиника'!C41</f>
        <v>1404</v>
      </c>
      <c r="D36" s="79">
        <f>МОБ!D41+МОЦОМиД!D41+'Городская поликлиника'!D41</f>
        <v>1561</v>
      </c>
      <c r="E36" s="80">
        <f t="shared" si="9"/>
        <v>0.89942344699999999</v>
      </c>
      <c r="F36" s="79">
        <v>0.89</v>
      </c>
      <c r="G36" s="79" t="s">
        <v>28</v>
      </c>
      <c r="H36" s="81">
        <f t="shared" ref="H36:H38" si="12">IFERROR(ROUND(E36/F36,9),0)</f>
        <v>1.0105881430000001</v>
      </c>
      <c r="I36" s="82">
        <v>2</v>
      </c>
      <c r="J36" s="79" t="s">
        <v>28</v>
      </c>
      <c r="K36" s="79"/>
      <c r="L36" s="79">
        <v>1</v>
      </c>
      <c r="M36" s="83"/>
      <c r="N36" s="79" t="s">
        <v>28</v>
      </c>
      <c r="O36" s="79" t="s">
        <v>28</v>
      </c>
      <c r="P36" s="79" t="s">
        <v>28</v>
      </c>
      <c r="Q36" s="82" t="s">
        <v>28</v>
      </c>
      <c r="R36" s="83"/>
    </row>
    <row r="37" spans="1:18" ht="18.75" x14ac:dyDescent="0.25">
      <c r="A37" s="15"/>
      <c r="B37" s="16"/>
      <c r="C37" s="357" t="s">
        <v>59</v>
      </c>
      <c r="D37" s="357"/>
      <c r="E37" s="357"/>
      <c r="F37" s="357"/>
      <c r="G37" s="357"/>
      <c r="H37" s="357"/>
      <c r="I37" s="357"/>
      <c r="J37" s="357"/>
      <c r="K37" s="357"/>
      <c r="L37" s="357"/>
      <c r="M37" s="357"/>
      <c r="N37" s="357"/>
      <c r="O37" s="357"/>
      <c r="P37" s="357"/>
      <c r="Q37" s="357"/>
      <c r="R37" s="358"/>
    </row>
    <row r="38" spans="1:18" s="37" customFormat="1" ht="36" x14ac:dyDescent="0.25">
      <c r="A38" s="34">
        <v>26</v>
      </c>
      <c r="B38" s="35" t="s">
        <v>40</v>
      </c>
      <c r="C38" s="67">
        <f>МОБ!C43+МОЦОМиД!C43+'Городская поликлиника'!C43</f>
        <v>666464.35</v>
      </c>
      <c r="D38" s="62">
        <f>МОБ!D43+МОЦОМиД!D43+'Городская поликлиника'!D43</f>
        <v>589809</v>
      </c>
      <c r="E38" s="84">
        <f>IFERROR(ROUND(C38/D38,9),0)</f>
        <v>1.1299663959999999</v>
      </c>
      <c r="F38" s="62">
        <v>1</v>
      </c>
      <c r="G38" s="62" t="s">
        <v>28</v>
      </c>
      <c r="H38" s="63">
        <f t="shared" si="12"/>
        <v>1.1299663959999999</v>
      </c>
      <c r="I38" s="68">
        <v>0</v>
      </c>
      <c r="J38" s="62">
        <v>0</v>
      </c>
      <c r="K38" s="62">
        <v>0</v>
      </c>
      <c r="L38" s="62">
        <v>1</v>
      </c>
      <c r="M38" s="66"/>
      <c r="N38" s="62" t="s">
        <v>28</v>
      </c>
      <c r="O38" s="62" t="s">
        <v>28</v>
      </c>
      <c r="P38" s="62" t="s">
        <v>28</v>
      </c>
      <c r="Q38" s="68" t="s">
        <v>28</v>
      </c>
      <c r="R38" s="66"/>
    </row>
    <row r="39" spans="1:18" x14ac:dyDescent="0.25">
      <c r="A39" s="9"/>
      <c r="B39" s="10"/>
      <c r="C39" s="43"/>
      <c r="D39" s="9"/>
      <c r="E39" s="9"/>
      <c r="F39" s="9"/>
      <c r="G39" s="9"/>
      <c r="H39" s="9"/>
      <c r="I39" s="54"/>
      <c r="J39" s="9"/>
      <c r="K39" s="9"/>
      <c r="L39" s="9"/>
      <c r="M39" s="44"/>
      <c r="N39" s="43"/>
      <c r="O39" s="9"/>
      <c r="P39" s="9"/>
      <c r="Q39" s="54"/>
      <c r="R39" s="44"/>
    </row>
    <row r="40" spans="1:18" x14ac:dyDescent="0.25">
      <c r="A40" s="9"/>
      <c r="B40" s="10"/>
      <c r="C40" s="43"/>
      <c r="D40" s="9"/>
      <c r="E40" s="9"/>
      <c r="F40" s="9"/>
      <c r="G40" s="9"/>
      <c r="H40" s="9"/>
      <c r="I40" s="54"/>
      <c r="J40" s="9"/>
      <c r="K40" s="9"/>
      <c r="L40" s="9"/>
      <c r="M40" s="44"/>
      <c r="N40" s="43"/>
      <c r="O40" s="9"/>
      <c r="P40" s="9"/>
      <c r="Q40" s="54"/>
      <c r="R40" s="44"/>
    </row>
    <row r="41" spans="1:18" x14ac:dyDescent="0.25">
      <c r="A41" s="9"/>
      <c r="B41" s="10"/>
      <c r="C41" s="43"/>
      <c r="D41" s="9"/>
      <c r="E41" s="9"/>
      <c r="F41" s="9"/>
      <c r="G41" s="9"/>
      <c r="H41" s="9"/>
      <c r="I41" s="54"/>
      <c r="J41" s="9"/>
      <c r="K41" s="9"/>
      <c r="L41" s="9"/>
      <c r="M41" s="44"/>
      <c r="N41" s="43"/>
      <c r="O41" s="9"/>
      <c r="P41" s="9"/>
      <c r="Q41" s="54"/>
      <c r="R41" s="44"/>
    </row>
    <row r="42" spans="1:18" x14ac:dyDescent="0.25">
      <c r="A42" s="9"/>
      <c r="B42" s="10"/>
      <c r="C42" s="43"/>
      <c r="D42" s="9"/>
      <c r="E42" s="9"/>
      <c r="F42" s="9"/>
      <c r="G42" s="9"/>
      <c r="H42" s="9"/>
      <c r="I42" s="54"/>
      <c r="J42" s="9"/>
      <c r="K42" s="9"/>
      <c r="L42" s="9"/>
      <c r="M42" s="44"/>
      <c r="N42" s="43"/>
      <c r="O42" s="9"/>
      <c r="P42" s="9"/>
      <c r="Q42" s="54"/>
      <c r="R42" s="44"/>
    </row>
    <row r="43" spans="1:18" x14ac:dyDescent="0.25">
      <c r="A43" s="9"/>
      <c r="B43" s="10"/>
      <c r="C43" s="43"/>
      <c r="D43" s="9"/>
      <c r="E43" s="9"/>
      <c r="F43" s="9"/>
      <c r="G43" s="9"/>
      <c r="H43" s="9"/>
      <c r="I43" s="54"/>
      <c r="J43" s="9"/>
      <c r="K43" s="9"/>
      <c r="L43" s="9"/>
      <c r="M43" s="44"/>
      <c r="N43" s="43"/>
      <c r="O43" s="9"/>
      <c r="P43" s="9"/>
      <c r="Q43" s="54"/>
      <c r="R43" s="44"/>
    </row>
    <row r="44" spans="1:18" x14ac:dyDescent="0.25">
      <c r="A44" s="9"/>
      <c r="B44" s="10"/>
      <c r="C44" s="43"/>
      <c r="D44" s="9"/>
      <c r="E44" s="9"/>
      <c r="F44" s="9"/>
      <c r="G44" s="9"/>
      <c r="H44" s="9"/>
      <c r="I44" s="54"/>
      <c r="J44" s="9"/>
      <c r="K44" s="9"/>
      <c r="L44" s="9"/>
      <c r="M44" s="44"/>
      <c r="N44" s="43"/>
      <c r="O44" s="9"/>
      <c r="P44" s="9"/>
      <c r="Q44" s="54"/>
      <c r="R44" s="44"/>
    </row>
    <row r="45" spans="1:18" x14ac:dyDescent="0.25">
      <c r="A45" s="9"/>
      <c r="B45" s="10"/>
      <c r="C45" s="43"/>
      <c r="D45" s="9"/>
      <c r="E45" s="9"/>
      <c r="F45" s="9"/>
      <c r="G45" s="9"/>
      <c r="H45" s="9"/>
      <c r="I45" s="54"/>
      <c r="J45" s="9"/>
      <c r="K45" s="9"/>
      <c r="L45" s="9"/>
      <c r="M45" s="44"/>
      <c r="N45" s="43"/>
      <c r="O45" s="9"/>
      <c r="P45" s="9"/>
      <c r="Q45" s="54"/>
      <c r="R45" s="44"/>
    </row>
    <row r="46" spans="1:18" x14ac:dyDescent="0.25">
      <c r="A46" s="9"/>
      <c r="B46" s="10"/>
      <c r="C46" s="43"/>
      <c r="D46" s="9"/>
      <c r="E46" s="9"/>
      <c r="F46" s="9"/>
      <c r="G46" s="9"/>
      <c r="H46" s="9"/>
      <c r="I46" s="54"/>
      <c r="J46" s="9"/>
      <c r="K46" s="9"/>
      <c r="L46" s="9"/>
      <c r="M46" s="44"/>
      <c r="N46" s="43"/>
      <c r="O46" s="9"/>
      <c r="P46" s="9"/>
      <c r="Q46" s="54"/>
      <c r="R46" s="44"/>
    </row>
    <row r="47" spans="1:18" x14ac:dyDescent="0.25">
      <c r="A47" s="9"/>
      <c r="B47" s="10"/>
      <c r="C47" s="43"/>
      <c r="D47" s="9"/>
      <c r="E47" s="9"/>
      <c r="F47" s="9"/>
      <c r="G47" s="9"/>
      <c r="H47" s="9"/>
      <c r="I47" s="54"/>
      <c r="J47" s="9"/>
      <c r="K47" s="9"/>
      <c r="L47" s="9"/>
      <c r="M47" s="44"/>
      <c r="N47" s="43"/>
      <c r="O47" s="9"/>
      <c r="P47" s="9"/>
      <c r="Q47" s="54"/>
      <c r="R47" s="44"/>
    </row>
    <row r="48" spans="1:18" ht="51.75" customHeight="1" x14ac:dyDescent="0.25">
      <c r="A48" s="353" t="s">
        <v>37</v>
      </c>
      <c r="B48" s="353"/>
      <c r="C48" s="353"/>
      <c r="D48" s="353"/>
      <c r="E48" s="353"/>
      <c r="F48" s="353"/>
      <c r="G48" s="353"/>
      <c r="H48" s="353"/>
      <c r="I48" s="353"/>
      <c r="J48" s="353"/>
      <c r="K48" s="353"/>
      <c r="L48" s="353"/>
      <c r="M48" s="353"/>
      <c r="N48" s="353"/>
      <c r="O48" s="353"/>
      <c r="P48" s="353"/>
      <c r="Q48" s="353"/>
      <c r="R48" s="353"/>
    </row>
    <row r="49" spans="1:18" ht="19.5" customHeight="1" x14ac:dyDescent="0.25">
      <c r="A49" s="349" t="s">
        <v>38</v>
      </c>
      <c r="B49" s="350"/>
      <c r="C49" s="350"/>
      <c r="D49" s="350"/>
      <c r="E49" s="350"/>
      <c r="F49" s="350"/>
      <c r="G49" s="350"/>
      <c r="H49" s="350"/>
      <c r="I49" s="350"/>
      <c r="J49" s="350"/>
      <c r="K49" s="350"/>
      <c r="L49" s="350"/>
      <c r="M49" s="350"/>
      <c r="N49" s="350"/>
      <c r="O49" s="350"/>
      <c r="P49" s="350"/>
      <c r="Q49" s="57"/>
      <c r="R49" s="6"/>
    </row>
    <row r="50" spans="1:18" x14ac:dyDescent="0.25">
      <c r="A50" s="4" t="s">
        <v>39</v>
      </c>
      <c r="B50" s="17"/>
      <c r="C50" s="18"/>
      <c r="D50" s="6"/>
      <c r="E50" s="6"/>
      <c r="F50" s="6"/>
      <c r="G50" s="6"/>
      <c r="H50" s="6"/>
      <c r="I50" s="57"/>
      <c r="J50" s="6"/>
      <c r="K50" s="6"/>
      <c r="L50" s="6"/>
      <c r="M50" s="6"/>
      <c r="N50" s="6"/>
      <c r="O50" s="6"/>
      <c r="P50" s="6"/>
      <c r="Q50" s="57"/>
      <c r="R50" s="6"/>
    </row>
    <row r="52" spans="1:18" x14ac:dyDescent="0.25">
      <c r="C52" s="3">
        <f>SUM(C10:C38)</f>
        <v>758654.35</v>
      </c>
      <c r="D52" s="3">
        <f t="shared" ref="D52:R52" si="13">SUM(D10:D38)</f>
        <v>1165174</v>
      </c>
      <c r="E52" s="3">
        <f t="shared" si="13"/>
        <v>10.881622584</v>
      </c>
      <c r="F52" s="3">
        <f t="shared" si="13"/>
        <v>9.7900000000000009</v>
      </c>
      <c r="G52" s="3">
        <f t="shared" si="13"/>
        <v>-76.846010652000004</v>
      </c>
      <c r="H52" s="3">
        <f t="shared" si="13"/>
        <v>9.819862499000001</v>
      </c>
      <c r="I52" s="3">
        <f t="shared" si="13"/>
        <v>8</v>
      </c>
      <c r="J52" s="3">
        <f t="shared" si="13"/>
        <v>3</v>
      </c>
      <c r="K52" s="3">
        <f t="shared" si="13"/>
        <v>0</v>
      </c>
      <c r="L52" s="3">
        <f t="shared" si="13"/>
        <v>29</v>
      </c>
      <c r="M52" s="3">
        <f t="shared" si="13"/>
        <v>0</v>
      </c>
      <c r="N52" s="3">
        <f t="shared" si="13"/>
        <v>53935</v>
      </c>
      <c r="O52" s="3">
        <f t="shared" si="13"/>
        <v>466950</v>
      </c>
      <c r="P52" s="3">
        <f t="shared" si="13"/>
        <v>3.1135587979999992</v>
      </c>
      <c r="Q52" s="3">
        <f t="shared" si="13"/>
        <v>0</v>
      </c>
      <c r="R52" s="3">
        <f t="shared" si="13"/>
        <v>0</v>
      </c>
    </row>
  </sheetData>
  <autoFilter ref="A8:R50"/>
  <mergeCells count="28">
    <mergeCell ref="A1:R1"/>
    <mergeCell ref="A2:A7"/>
    <mergeCell ref="B2:B7"/>
    <mergeCell ref="C2:M2"/>
    <mergeCell ref="N2:R2"/>
    <mergeCell ref="C3:C5"/>
    <mergeCell ref="D3:D5"/>
    <mergeCell ref="E3:E5"/>
    <mergeCell ref="F3:F5"/>
    <mergeCell ref="G3:G5"/>
    <mergeCell ref="R3:R5"/>
    <mergeCell ref="C6:R6"/>
    <mergeCell ref="H3:H5"/>
    <mergeCell ref="I3:I5"/>
    <mergeCell ref="J3:J5"/>
    <mergeCell ref="K3:K5"/>
    <mergeCell ref="A49:P49"/>
    <mergeCell ref="N3:N5"/>
    <mergeCell ref="O3:O5"/>
    <mergeCell ref="P3:P5"/>
    <mergeCell ref="A48:R48"/>
    <mergeCell ref="Q3:Q5"/>
    <mergeCell ref="C9:R9"/>
    <mergeCell ref="C24:R24"/>
    <mergeCell ref="C31:R31"/>
    <mergeCell ref="C37:R37"/>
    <mergeCell ref="L3:L5"/>
    <mergeCell ref="M3:M5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28"/>
  <sheetViews>
    <sheetView view="pageBreakPreview" zoomScale="70" zoomScaleNormal="100" zoomScaleSheetLayoutView="70" workbookViewId="0">
      <pane ySplit="7" topLeftCell="A8" activePane="bottomLeft" state="frozen"/>
      <selection pane="bottomLeft" activeCell="O8" sqref="O8"/>
    </sheetView>
  </sheetViews>
  <sheetFormatPr defaultRowHeight="15.75" x14ac:dyDescent="0.25"/>
  <cols>
    <col min="1" max="1" width="57.28515625" style="150" customWidth="1"/>
    <col min="2" max="2" width="15.85546875" style="162" customWidth="1"/>
    <col min="3" max="3" width="19.42578125" style="332" customWidth="1"/>
    <col min="4" max="4" width="15.85546875" style="162" customWidth="1"/>
    <col min="5" max="5" width="19.5703125" style="332" customWidth="1"/>
    <col min="6" max="6" width="15.85546875" style="162" customWidth="1"/>
    <col min="7" max="7" width="20.140625" style="332" customWidth="1"/>
    <col min="8" max="8" width="15.85546875" style="162" customWidth="1"/>
    <col min="9" max="9" width="19.7109375" style="332" customWidth="1"/>
    <col min="10" max="10" width="11.28515625" style="150" bestFit="1" customWidth="1"/>
    <col min="11" max="16384" width="9.140625" style="150"/>
  </cols>
  <sheetData>
    <row r="1" spans="1:10" ht="16.5" x14ac:dyDescent="0.25">
      <c r="I1" s="112" t="s">
        <v>145</v>
      </c>
    </row>
    <row r="2" spans="1:10" ht="16.5" x14ac:dyDescent="0.25">
      <c r="I2" s="112" t="s">
        <v>78</v>
      </c>
    </row>
    <row r="3" spans="1:10" ht="16.5" x14ac:dyDescent="0.25">
      <c r="I3" s="112" t="str">
        <f>МОБ!$R$3</f>
        <v>№ 17-03 от 19.12.2024</v>
      </c>
    </row>
    <row r="4" spans="1:10" ht="51.75" customHeight="1" x14ac:dyDescent="0.25">
      <c r="A4" s="467" t="s">
        <v>187</v>
      </c>
      <c r="B4" s="467"/>
      <c r="C4" s="467"/>
      <c r="D4" s="467"/>
      <c r="E4" s="467"/>
      <c r="F4" s="467"/>
      <c r="G4" s="467"/>
      <c r="H4" s="467"/>
      <c r="I4" s="467"/>
    </row>
    <row r="5" spans="1:10" x14ac:dyDescent="0.25">
      <c r="I5" s="336" t="s">
        <v>87</v>
      </c>
    </row>
    <row r="6" spans="1:10" ht="75" customHeight="1" x14ac:dyDescent="0.25">
      <c r="A6" s="466" t="s">
        <v>143</v>
      </c>
      <c r="B6" s="468" t="s">
        <v>188</v>
      </c>
      <c r="C6" s="468"/>
      <c r="D6" s="468" t="s">
        <v>119</v>
      </c>
      <c r="E6" s="468"/>
      <c r="F6" s="468" t="s">
        <v>189</v>
      </c>
      <c r="G6" s="468"/>
      <c r="H6" s="468" t="s">
        <v>190</v>
      </c>
      <c r="I6" s="468"/>
    </row>
    <row r="7" spans="1:10" ht="95.25" customHeight="1" x14ac:dyDescent="0.25">
      <c r="A7" s="466"/>
      <c r="B7" s="330" t="s">
        <v>120</v>
      </c>
      <c r="C7" s="333" t="s">
        <v>121</v>
      </c>
      <c r="D7" s="330" t="s">
        <v>120</v>
      </c>
      <c r="E7" s="333" t="s">
        <v>121</v>
      </c>
      <c r="F7" s="330" t="s">
        <v>120</v>
      </c>
      <c r="G7" s="333" t="s">
        <v>121</v>
      </c>
      <c r="H7" s="330" t="s">
        <v>120</v>
      </c>
      <c r="I7" s="333" t="s">
        <v>121</v>
      </c>
    </row>
    <row r="8" spans="1:10" ht="24.75" customHeight="1" x14ac:dyDescent="0.25">
      <c r="A8" s="431" t="s">
        <v>123</v>
      </c>
      <c r="B8" s="431"/>
      <c r="C8" s="431"/>
      <c r="D8" s="431"/>
      <c r="E8" s="431"/>
      <c r="F8" s="431"/>
      <c r="G8" s="431"/>
      <c r="H8" s="431"/>
      <c r="I8" s="431"/>
    </row>
    <row r="9" spans="1:10" ht="35.25" customHeight="1" x14ac:dyDescent="0.25">
      <c r="A9" s="331" t="s">
        <v>68</v>
      </c>
      <c r="B9" s="329">
        <f>C9</f>
        <v>0</v>
      </c>
      <c r="C9" s="334">
        <f>E9+G9+I9</f>
        <v>0</v>
      </c>
      <c r="D9" s="329">
        <f>E9</f>
        <v>0</v>
      </c>
      <c r="E9" s="334">
        <f>E14+E19</f>
        <v>0</v>
      </c>
      <c r="F9" s="329">
        <f>G9</f>
        <v>0</v>
      </c>
      <c r="G9" s="334">
        <f>G14+G19</f>
        <v>0</v>
      </c>
      <c r="H9" s="329">
        <f>I9</f>
        <v>0</v>
      </c>
      <c r="I9" s="334">
        <f>I14+I19</f>
        <v>0</v>
      </c>
    </row>
    <row r="10" spans="1:10" ht="35.25" customHeight="1" x14ac:dyDescent="0.25">
      <c r="A10" s="331" t="s">
        <v>83</v>
      </c>
      <c r="B10" s="329">
        <f t="shared" ref="B10" si="0">C10</f>
        <v>2262004.1830000002</v>
      </c>
      <c r="C10" s="334">
        <f>E10+G10+I10</f>
        <v>2262004.1830000002</v>
      </c>
      <c r="D10" s="329">
        <f t="shared" ref="D10:F12" si="1">E10</f>
        <v>1653346.4700000002</v>
      </c>
      <c r="E10" s="334">
        <f t="shared" ref="E10:E11" si="2">E15+E20</f>
        <v>1653346.4700000002</v>
      </c>
      <c r="F10" s="329">
        <f t="shared" si="1"/>
        <v>608657.71299999999</v>
      </c>
      <c r="G10" s="334">
        <f t="shared" ref="G10" si="3">G15+G20</f>
        <v>608657.71299999999</v>
      </c>
      <c r="H10" s="329">
        <f t="shared" ref="H10" si="4">I10</f>
        <v>0</v>
      </c>
      <c r="I10" s="334">
        <f t="shared" ref="I10" si="5">I15+I20</f>
        <v>0</v>
      </c>
    </row>
    <row r="11" spans="1:10" ht="35.25" customHeight="1" x14ac:dyDescent="0.25">
      <c r="A11" s="331" t="s">
        <v>122</v>
      </c>
      <c r="B11" s="329">
        <f t="shared" ref="B11" si="6">C11</f>
        <v>6430918.551</v>
      </c>
      <c r="C11" s="334">
        <f>E11+G11+I11</f>
        <v>6430918.551</v>
      </c>
      <c r="D11" s="329">
        <f t="shared" si="1"/>
        <v>4974902.58</v>
      </c>
      <c r="E11" s="334">
        <f t="shared" si="2"/>
        <v>4974902.58</v>
      </c>
      <c r="F11" s="329">
        <f t="shared" si="1"/>
        <v>0</v>
      </c>
      <c r="G11" s="334">
        <f t="shared" ref="G11" si="7">G16+G21</f>
        <v>0</v>
      </c>
      <c r="H11" s="329">
        <f t="shared" ref="H11" si="8">I11</f>
        <v>1456015.9710000001</v>
      </c>
      <c r="I11" s="334">
        <f t="shared" ref="I11" si="9">I16+I21</f>
        <v>1456015.9710000001</v>
      </c>
    </row>
    <row r="12" spans="1:10" s="332" customFormat="1" ht="24.75" customHeight="1" x14ac:dyDescent="0.25">
      <c r="A12" s="337" t="s">
        <v>125</v>
      </c>
      <c r="B12" s="338">
        <f t="shared" ref="B12" si="10">C12</f>
        <v>8692922.7340000011</v>
      </c>
      <c r="C12" s="334">
        <f t="shared" ref="C12:I12" si="11">SUM(C9:C11)</f>
        <v>8692922.7340000011</v>
      </c>
      <c r="D12" s="338">
        <f t="shared" si="1"/>
        <v>6628249.0500000007</v>
      </c>
      <c r="E12" s="334">
        <f t="shared" si="11"/>
        <v>6628249.0500000007</v>
      </c>
      <c r="F12" s="338">
        <f t="shared" si="1"/>
        <v>608657.71299999999</v>
      </c>
      <c r="G12" s="334">
        <f t="shared" si="11"/>
        <v>608657.71299999999</v>
      </c>
      <c r="H12" s="338">
        <f t="shared" ref="H12" si="12">I12</f>
        <v>1456015.9710000001</v>
      </c>
      <c r="I12" s="334">
        <f t="shared" si="11"/>
        <v>1456015.9710000001</v>
      </c>
      <c r="J12" s="339"/>
    </row>
    <row r="13" spans="1:10" ht="23.25" customHeight="1" x14ac:dyDescent="0.25">
      <c r="A13" s="431" t="s">
        <v>186</v>
      </c>
      <c r="B13" s="431"/>
      <c r="C13" s="431"/>
      <c r="D13" s="431"/>
      <c r="E13" s="431"/>
      <c r="F13" s="431"/>
      <c r="G13" s="431"/>
      <c r="H13" s="431"/>
      <c r="I13" s="431"/>
    </row>
    <row r="14" spans="1:10" ht="39" customHeight="1" x14ac:dyDescent="0.25">
      <c r="A14" s="151" t="s">
        <v>68</v>
      </c>
      <c r="B14" s="161">
        <f t="shared" ref="B14" si="13">C14</f>
        <v>0</v>
      </c>
      <c r="C14" s="334">
        <f>E14+G14+I14</f>
        <v>0</v>
      </c>
      <c r="D14" s="161">
        <f t="shared" ref="D14:F16" si="14">E14</f>
        <v>0</v>
      </c>
      <c r="E14" s="334">
        <f>'ПР_4 ОБЪЕМ СРЕДСТВ (Основной)'!E30</f>
        <v>0</v>
      </c>
      <c r="F14" s="161">
        <f t="shared" si="14"/>
        <v>0</v>
      </c>
      <c r="G14" s="334">
        <f>'ПР_4 ОБЪЕМ СРЕДСТВ (АМП)'!E24</f>
        <v>0</v>
      </c>
      <c r="H14" s="161">
        <f>I14</f>
        <v>0</v>
      </c>
      <c r="I14" s="334">
        <f>'ПР_4 ОБЪЕМ СРЕДСТВ (СТОМАТ)'!E24</f>
        <v>0</v>
      </c>
    </row>
    <row r="15" spans="1:10" ht="34.5" customHeight="1" x14ac:dyDescent="0.25">
      <c r="A15" s="151" t="s">
        <v>83</v>
      </c>
      <c r="B15" s="161">
        <f t="shared" ref="B15" si="15">C15</f>
        <v>1369237.33</v>
      </c>
      <c r="C15" s="334">
        <f>E15+G15+I15</f>
        <v>1369237.33</v>
      </c>
      <c r="D15" s="161">
        <f t="shared" si="14"/>
        <v>943176.93</v>
      </c>
      <c r="E15" s="334">
        <f>'ПР_4 ОБЪЕМ СРЕДСТВ (Основной)'!E39</f>
        <v>943176.93</v>
      </c>
      <c r="F15" s="161">
        <f t="shared" si="14"/>
        <v>426060.4</v>
      </c>
      <c r="G15" s="334">
        <f>'ПР_4 ОБЪЕМ СРЕДСТВ (АМП)'!E32</f>
        <v>426060.4</v>
      </c>
      <c r="H15" s="161">
        <f>I15</f>
        <v>0</v>
      </c>
      <c r="I15" s="334">
        <f>'ПР_4 ОБЪЕМ СРЕДСТВ (СТОМАТ)'!E32</f>
        <v>0</v>
      </c>
    </row>
    <row r="16" spans="1:10" x14ac:dyDescent="0.25">
      <c r="A16" s="151" t="s">
        <v>122</v>
      </c>
      <c r="B16" s="161">
        <f t="shared" ref="B16" si="16">C16</f>
        <v>4715808.58</v>
      </c>
      <c r="C16" s="334">
        <f>E16+G16+I16</f>
        <v>4715808.58</v>
      </c>
      <c r="D16" s="161">
        <f t="shared" si="14"/>
        <v>3696597.4</v>
      </c>
      <c r="E16" s="334">
        <f>'ПР_4 ОБЪЕМ СРЕДСТВ (Основной)'!E50</f>
        <v>3696597.4</v>
      </c>
      <c r="F16" s="161">
        <f t="shared" si="14"/>
        <v>0</v>
      </c>
      <c r="G16" s="334">
        <f>'ПР_4 ОБЪЕМ СРЕДСТВ (АМП)'!E40</f>
        <v>0</v>
      </c>
      <c r="H16" s="161">
        <f>I16</f>
        <v>1019211.18</v>
      </c>
      <c r="I16" s="334">
        <f>'ПР_4 ОБЪЕМ СРЕДСТВ (СТОМАТ)'!E40</f>
        <v>1019211.18</v>
      </c>
    </row>
    <row r="17" spans="1:9" ht="27" customHeight="1" x14ac:dyDescent="0.25">
      <c r="A17" s="151" t="s">
        <v>125</v>
      </c>
      <c r="B17" s="161">
        <f>C17</f>
        <v>6085045.9100000001</v>
      </c>
      <c r="C17" s="334">
        <f>SUM(C14:C16)</f>
        <v>6085045.9100000001</v>
      </c>
      <c r="D17" s="161">
        <f>E17</f>
        <v>4639774.33</v>
      </c>
      <c r="E17" s="334">
        <f t="shared" ref="E17:G17" si="17">SUM(E14:E16)</f>
        <v>4639774.33</v>
      </c>
      <c r="F17" s="161">
        <f>G17</f>
        <v>426060.4</v>
      </c>
      <c r="G17" s="334">
        <f t="shared" si="17"/>
        <v>426060.4</v>
      </c>
      <c r="H17" s="161">
        <f>I17</f>
        <v>1019211.18</v>
      </c>
      <c r="I17" s="334">
        <f t="shared" ref="I17" si="18">SUM(I14:I16)</f>
        <v>1019211.18</v>
      </c>
    </row>
    <row r="18" spans="1:9" ht="34.5" customHeight="1" x14ac:dyDescent="0.25">
      <c r="A18" s="431" t="s">
        <v>124</v>
      </c>
      <c r="B18" s="431"/>
      <c r="C18" s="431"/>
      <c r="D18" s="431"/>
      <c r="E18" s="431"/>
      <c r="F18" s="431"/>
      <c r="G18" s="431"/>
      <c r="H18" s="431"/>
      <c r="I18" s="431"/>
    </row>
    <row r="19" spans="1:9" ht="36.75" customHeight="1" x14ac:dyDescent="0.25">
      <c r="A19" s="151" t="s">
        <v>68</v>
      </c>
      <c r="B19" s="161">
        <f>C19</f>
        <v>0</v>
      </c>
      <c r="C19" s="334">
        <f>E19+G19+I19</f>
        <v>0</v>
      </c>
      <c r="D19" s="161">
        <f>E19</f>
        <v>0</v>
      </c>
      <c r="E19" s="335">
        <v>0</v>
      </c>
      <c r="F19" s="161">
        <f>G19</f>
        <v>0</v>
      </c>
      <c r="G19" s="335"/>
      <c r="H19" s="161">
        <f>I19</f>
        <v>0</v>
      </c>
      <c r="I19" s="335"/>
    </row>
    <row r="20" spans="1:9" ht="44.25" customHeight="1" x14ac:dyDescent="0.25">
      <c r="A20" s="151" t="s">
        <v>83</v>
      </c>
      <c r="B20" s="161">
        <f>C20</f>
        <v>892766.853</v>
      </c>
      <c r="C20" s="334">
        <f>E20+G20+I20</f>
        <v>892766.853</v>
      </c>
      <c r="D20" s="161">
        <f>E20</f>
        <v>710169.54</v>
      </c>
      <c r="E20" s="334">
        <f>'ПР_4 ОБЪЕМ СРЕДСТВ (Основной)'!E80</f>
        <v>710169.54</v>
      </c>
      <c r="F20" s="161">
        <f>G20</f>
        <v>182597.31299999999</v>
      </c>
      <c r="G20" s="334">
        <f>'ПР_4 ОБЪЕМ СРЕДСТВ (АМП)'!E70</f>
        <v>182597.31299999999</v>
      </c>
      <c r="H20" s="161">
        <f>I20</f>
        <v>0</v>
      </c>
      <c r="I20" s="335"/>
    </row>
    <row r="21" spans="1:9" ht="36.75" customHeight="1" x14ac:dyDescent="0.25">
      <c r="A21" s="151" t="s">
        <v>122</v>
      </c>
      <c r="B21" s="161">
        <f>C21</f>
        <v>1715109.9709999999</v>
      </c>
      <c r="C21" s="334">
        <f>E21+G21+I21</f>
        <v>1715109.9709999999</v>
      </c>
      <c r="D21" s="161">
        <f>E21</f>
        <v>1278305.18</v>
      </c>
      <c r="E21" s="334">
        <f>'ПР_4 ОБЪЕМ СРЕДСТВ (Основной)'!E90</f>
        <v>1278305.18</v>
      </c>
      <c r="F21" s="161">
        <f>G21</f>
        <v>0</v>
      </c>
      <c r="G21" s="335"/>
      <c r="H21" s="161">
        <f>I21</f>
        <v>436804.79100000003</v>
      </c>
      <c r="I21" s="334">
        <f>'ПР_4 ОБЪЕМ СРЕДСТВ (СТОМАТ)'!E70</f>
        <v>436804.79100000003</v>
      </c>
    </row>
    <row r="22" spans="1:9" ht="23.25" customHeight="1" x14ac:dyDescent="0.25">
      <c r="A22" s="151" t="s">
        <v>125</v>
      </c>
      <c r="B22" s="161">
        <f t="shared" ref="B22:C22" si="19">SUM(B19:B21)</f>
        <v>2607876.824</v>
      </c>
      <c r="C22" s="334">
        <f t="shared" si="19"/>
        <v>2607876.824</v>
      </c>
      <c r="D22" s="161">
        <f>SUM(D19:D21)</f>
        <v>1988474.72</v>
      </c>
      <c r="E22" s="334">
        <f t="shared" ref="E22:I22" si="20">SUM(E19:E21)</f>
        <v>1988474.72</v>
      </c>
      <c r="F22" s="161">
        <f t="shared" si="20"/>
        <v>182597.31299999999</v>
      </c>
      <c r="G22" s="334">
        <f t="shared" si="20"/>
        <v>182597.31299999999</v>
      </c>
      <c r="H22" s="161">
        <f t="shared" si="20"/>
        <v>436804.79100000003</v>
      </c>
      <c r="I22" s="334">
        <f t="shared" si="20"/>
        <v>436804.79100000003</v>
      </c>
    </row>
    <row r="24" spans="1:9" x14ac:dyDescent="0.25">
      <c r="B24" s="168"/>
      <c r="D24" s="168"/>
      <c r="F24" s="168"/>
      <c r="H24" s="168"/>
    </row>
    <row r="25" spans="1:9" x14ac:dyDescent="0.25">
      <c r="B25" s="168"/>
      <c r="D25" s="168"/>
      <c r="F25" s="168"/>
      <c r="H25" s="168"/>
    </row>
    <row r="28" spans="1:9" x14ac:dyDescent="0.25">
      <c r="D28" s="168"/>
      <c r="F28" s="168"/>
      <c r="H28" s="168"/>
    </row>
  </sheetData>
  <mergeCells count="9">
    <mergeCell ref="A18:I18"/>
    <mergeCell ref="A6:A7"/>
    <mergeCell ref="A4:I4"/>
    <mergeCell ref="D6:E6"/>
    <mergeCell ref="F6:G6"/>
    <mergeCell ref="H6:I6"/>
    <mergeCell ref="B6:C6"/>
    <mergeCell ref="A8:I8"/>
    <mergeCell ref="A13:I13"/>
  </mergeCells>
  <pageMargins left="0.7" right="0.7" top="0.75" bottom="0.75" header="0.3" footer="0.3"/>
  <pageSetup paperSize="9" scale="6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zoomScale="80" zoomScaleNormal="80" zoomScaleSheetLayoutView="55" workbookViewId="0">
      <pane xSplit="2" ySplit="8" topLeftCell="C18" activePane="bottomRight" state="frozen"/>
      <selection pane="topRight" activeCell="C1" sqref="C1"/>
      <selection pane="bottomLeft" activeCell="A9" sqref="A9"/>
      <selection pane="bottomRight" activeCell="J18" sqref="J18"/>
    </sheetView>
  </sheetViews>
  <sheetFormatPr defaultRowHeight="15" x14ac:dyDescent="0.25"/>
  <cols>
    <col min="1" max="1" width="9.42578125" style="1" customWidth="1"/>
    <col min="2" max="2" width="28.42578125" style="2" customWidth="1"/>
    <col min="3" max="3" width="16" style="3" customWidth="1"/>
    <col min="4" max="4" width="16.7109375" customWidth="1"/>
    <col min="5" max="5" width="24.28515625" customWidth="1"/>
    <col min="6" max="8" width="19.85546875" customWidth="1"/>
    <col min="9" max="9" width="19.85546875" style="58" customWidth="1"/>
    <col min="10" max="11" width="19.85546875" customWidth="1"/>
    <col min="12" max="12" width="18" customWidth="1"/>
    <col min="13" max="13" width="13.7109375" customWidth="1"/>
    <col min="14" max="14" width="16" customWidth="1"/>
    <col min="15" max="15" width="16.7109375" customWidth="1"/>
    <col min="16" max="16" width="24.28515625" customWidth="1"/>
    <col min="17" max="17" width="19.85546875" style="58" customWidth="1"/>
    <col min="18" max="18" width="13.140625" customWidth="1"/>
  </cols>
  <sheetData>
    <row r="1" spans="1:18" ht="25.5" customHeight="1" thickBot="1" x14ac:dyDescent="0.3">
      <c r="A1" s="360" t="s">
        <v>60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  <c r="P1" s="360"/>
      <c r="Q1" s="360"/>
      <c r="R1" s="360"/>
    </row>
    <row r="2" spans="1:18" s="4" customFormat="1" ht="21.75" customHeight="1" x14ac:dyDescent="0.25">
      <c r="A2" s="361" t="s">
        <v>55</v>
      </c>
      <c r="B2" s="364" t="s">
        <v>54</v>
      </c>
      <c r="C2" s="367" t="s">
        <v>52</v>
      </c>
      <c r="D2" s="367"/>
      <c r="E2" s="367"/>
      <c r="F2" s="367"/>
      <c r="G2" s="367"/>
      <c r="H2" s="367"/>
      <c r="I2" s="367"/>
      <c r="J2" s="367"/>
      <c r="K2" s="367"/>
      <c r="L2" s="367"/>
      <c r="M2" s="368"/>
      <c r="N2" s="369" t="s">
        <v>1</v>
      </c>
      <c r="O2" s="367"/>
      <c r="P2" s="367"/>
      <c r="Q2" s="367"/>
      <c r="R2" s="368"/>
    </row>
    <row r="3" spans="1:18" s="6" customFormat="1" ht="12" customHeight="1" x14ac:dyDescent="0.2">
      <c r="A3" s="362"/>
      <c r="B3" s="365"/>
      <c r="C3" s="370" t="s">
        <v>33</v>
      </c>
      <c r="D3" s="352" t="s">
        <v>34</v>
      </c>
      <c r="E3" s="352" t="s">
        <v>35</v>
      </c>
      <c r="F3" s="352" t="s">
        <v>36</v>
      </c>
      <c r="G3" s="352" t="s">
        <v>42</v>
      </c>
      <c r="H3" s="352" t="s">
        <v>43</v>
      </c>
      <c r="I3" s="354" t="s">
        <v>31</v>
      </c>
      <c r="J3" s="352" t="s">
        <v>29</v>
      </c>
      <c r="K3" s="352" t="s">
        <v>30</v>
      </c>
      <c r="L3" s="352" t="s">
        <v>32</v>
      </c>
      <c r="M3" s="359" t="s">
        <v>0</v>
      </c>
      <c r="N3" s="351" t="s">
        <v>33</v>
      </c>
      <c r="O3" s="352" t="s">
        <v>34</v>
      </c>
      <c r="P3" s="352" t="s">
        <v>35</v>
      </c>
      <c r="Q3" s="354" t="s">
        <v>31</v>
      </c>
      <c r="R3" s="359" t="s">
        <v>0</v>
      </c>
    </row>
    <row r="4" spans="1:18" s="6" customFormat="1" ht="12" customHeight="1" x14ac:dyDescent="0.2">
      <c r="A4" s="362"/>
      <c r="B4" s="365"/>
      <c r="C4" s="370"/>
      <c r="D4" s="352"/>
      <c r="E4" s="352"/>
      <c r="F4" s="352"/>
      <c r="G4" s="352"/>
      <c r="H4" s="352"/>
      <c r="I4" s="354"/>
      <c r="J4" s="352"/>
      <c r="K4" s="352"/>
      <c r="L4" s="352"/>
      <c r="M4" s="359"/>
      <c r="N4" s="351"/>
      <c r="O4" s="352"/>
      <c r="P4" s="352"/>
      <c r="Q4" s="354"/>
      <c r="R4" s="359"/>
    </row>
    <row r="5" spans="1:18" s="6" customFormat="1" ht="64.5" customHeight="1" x14ac:dyDescent="0.2">
      <c r="A5" s="362"/>
      <c r="B5" s="365"/>
      <c r="C5" s="370"/>
      <c r="D5" s="352"/>
      <c r="E5" s="352"/>
      <c r="F5" s="352"/>
      <c r="G5" s="352"/>
      <c r="H5" s="352"/>
      <c r="I5" s="354"/>
      <c r="J5" s="352"/>
      <c r="K5" s="352"/>
      <c r="L5" s="352"/>
      <c r="M5" s="359"/>
      <c r="N5" s="351"/>
      <c r="O5" s="352"/>
      <c r="P5" s="352"/>
      <c r="Q5" s="354"/>
      <c r="R5" s="359"/>
    </row>
    <row r="6" spans="1:18" s="6" customFormat="1" ht="15" customHeight="1" x14ac:dyDescent="0.2">
      <c r="A6" s="362"/>
      <c r="B6" s="365"/>
      <c r="C6" s="371" t="s">
        <v>27</v>
      </c>
      <c r="D6" s="371"/>
      <c r="E6" s="371"/>
      <c r="F6" s="371"/>
      <c r="G6" s="371"/>
      <c r="H6" s="371"/>
      <c r="I6" s="371"/>
      <c r="J6" s="371"/>
      <c r="K6" s="371"/>
      <c r="L6" s="371"/>
      <c r="M6" s="371"/>
      <c r="N6" s="371"/>
      <c r="O6" s="371"/>
      <c r="P6" s="371"/>
      <c r="Q6" s="371"/>
      <c r="R6" s="372"/>
    </row>
    <row r="7" spans="1:18" s="6" customFormat="1" ht="207.75" customHeight="1" x14ac:dyDescent="0.2">
      <c r="A7" s="363"/>
      <c r="B7" s="366"/>
      <c r="C7" s="23" t="s">
        <v>47</v>
      </c>
      <c r="D7" s="5" t="s">
        <v>47</v>
      </c>
      <c r="E7" s="5" t="s">
        <v>46</v>
      </c>
      <c r="F7" s="5" t="s">
        <v>53</v>
      </c>
      <c r="G7" s="5" t="s">
        <v>51</v>
      </c>
      <c r="H7" s="5" t="s">
        <v>49</v>
      </c>
      <c r="I7" s="51" t="s">
        <v>50</v>
      </c>
      <c r="J7" s="5" t="s">
        <v>44</v>
      </c>
      <c r="K7" s="5" t="s">
        <v>44</v>
      </c>
      <c r="L7" s="7" t="s">
        <v>41</v>
      </c>
      <c r="M7" s="8"/>
      <c r="N7" s="19" t="s">
        <v>47</v>
      </c>
      <c r="O7" s="5" t="s">
        <v>47</v>
      </c>
      <c r="P7" s="5" t="s">
        <v>48</v>
      </c>
      <c r="Q7" s="60" t="s">
        <v>45</v>
      </c>
      <c r="R7" s="8"/>
    </row>
    <row r="8" spans="1:18" s="22" customFormat="1" x14ac:dyDescent="0.25">
      <c r="A8" s="20">
        <v>1</v>
      </c>
      <c r="B8" s="20">
        <v>2</v>
      </c>
      <c r="C8" s="21">
        <v>3</v>
      </c>
      <c r="D8" s="20">
        <v>4</v>
      </c>
      <c r="E8" s="21">
        <v>5</v>
      </c>
      <c r="F8" s="20">
        <v>6</v>
      </c>
      <c r="G8" s="21">
        <v>7</v>
      </c>
      <c r="H8" s="20">
        <v>8</v>
      </c>
      <c r="I8" s="50">
        <v>9</v>
      </c>
      <c r="J8" s="20">
        <v>10</v>
      </c>
      <c r="K8" s="21">
        <v>11</v>
      </c>
      <c r="L8" s="20">
        <v>12</v>
      </c>
      <c r="M8" s="21">
        <v>13</v>
      </c>
      <c r="N8" s="20">
        <v>14</v>
      </c>
      <c r="O8" s="21">
        <v>15</v>
      </c>
      <c r="P8" s="20">
        <v>16</v>
      </c>
      <c r="Q8" s="59">
        <v>17</v>
      </c>
      <c r="R8" s="20">
        <v>18</v>
      </c>
    </row>
    <row r="9" spans="1:18" ht="15" customHeight="1" x14ac:dyDescent="0.25">
      <c r="A9" s="24"/>
      <c r="B9" s="25"/>
      <c r="C9" s="355" t="s">
        <v>56</v>
      </c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  <c r="O9" s="355"/>
      <c r="P9" s="355"/>
      <c r="Q9" s="355"/>
      <c r="R9" s="356"/>
    </row>
    <row r="10" spans="1:18" s="37" customFormat="1" ht="60" x14ac:dyDescent="0.25">
      <c r="A10" s="34">
        <v>1</v>
      </c>
      <c r="B10" s="35" t="s">
        <v>2</v>
      </c>
      <c r="C10" s="42"/>
      <c r="D10" s="34"/>
      <c r="E10" s="40">
        <f>IFERROR(ROUND(C10/D10,9),0)</f>
        <v>0</v>
      </c>
      <c r="F10" s="36" t="s">
        <v>28</v>
      </c>
      <c r="G10" s="40">
        <f>IFERROR(ROUND((E10/P10*100-100),9),0)</f>
        <v>0</v>
      </c>
      <c r="H10" s="36" t="s">
        <v>28</v>
      </c>
      <c r="I10" s="52"/>
      <c r="J10" s="34"/>
      <c r="K10" s="34"/>
      <c r="L10" s="34"/>
      <c r="M10" s="41"/>
      <c r="N10" s="42"/>
      <c r="O10" s="34"/>
      <c r="P10" s="40">
        <f t="shared" ref="P10" si="0">IFERROR(ROUND(N10/O10,9),0)</f>
        <v>0</v>
      </c>
      <c r="Q10" s="56"/>
      <c r="R10" s="41"/>
    </row>
    <row r="11" spans="1:18" ht="120" x14ac:dyDescent="0.25">
      <c r="A11" s="9">
        <v>2</v>
      </c>
      <c r="B11" s="10" t="s">
        <v>3</v>
      </c>
      <c r="C11" s="43"/>
      <c r="D11" s="9"/>
      <c r="E11" s="61">
        <f t="shared" ref="E11:E22" si="1">IFERROR(ROUND(C11/D11,9),0)</f>
        <v>0</v>
      </c>
      <c r="F11" s="11" t="s">
        <v>28</v>
      </c>
      <c r="G11" s="38">
        <f t="shared" ref="G11:G17" si="2">IFERROR(ROUND((E11/P11*100-100),9),0)</f>
        <v>0</v>
      </c>
      <c r="H11" s="11" t="s">
        <v>28</v>
      </c>
      <c r="I11" s="53"/>
      <c r="J11" s="9"/>
      <c r="K11" s="9"/>
      <c r="L11" s="9"/>
      <c r="M11" s="44"/>
      <c r="N11" s="43"/>
      <c r="O11" s="9"/>
      <c r="P11" s="38">
        <f t="shared" ref="P11:P13" si="3">IFERROR(ROUND(N11/O11,9),0)</f>
        <v>0</v>
      </c>
      <c r="Q11" s="54"/>
      <c r="R11" s="44"/>
    </row>
    <row r="12" spans="1:18" ht="120" x14ac:dyDescent="0.25">
      <c r="A12" s="9">
        <v>3</v>
      </c>
      <c r="B12" s="10" t="s">
        <v>4</v>
      </c>
      <c r="C12" s="43"/>
      <c r="D12" s="9"/>
      <c r="E12" s="38">
        <f t="shared" si="1"/>
        <v>0</v>
      </c>
      <c r="F12" s="9" t="s">
        <v>28</v>
      </c>
      <c r="G12" s="38">
        <f t="shared" si="2"/>
        <v>0</v>
      </c>
      <c r="H12" s="9" t="s">
        <v>28</v>
      </c>
      <c r="I12" s="54"/>
      <c r="J12" s="9"/>
      <c r="K12" s="9"/>
      <c r="L12" s="9"/>
      <c r="M12" s="44"/>
      <c r="N12" s="43"/>
      <c r="O12" s="9"/>
      <c r="P12" s="38">
        <f t="shared" si="3"/>
        <v>0</v>
      </c>
      <c r="Q12" s="54"/>
      <c r="R12" s="44"/>
    </row>
    <row r="13" spans="1:18" ht="132" x14ac:dyDescent="0.25">
      <c r="A13" s="9">
        <v>4</v>
      </c>
      <c r="B13" s="10" t="s">
        <v>5</v>
      </c>
      <c r="C13" s="43"/>
      <c r="D13" s="9"/>
      <c r="E13" s="38">
        <f t="shared" si="1"/>
        <v>0</v>
      </c>
      <c r="F13" s="9" t="s">
        <v>28</v>
      </c>
      <c r="G13" s="38">
        <f t="shared" si="2"/>
        <v>0</v>
      </c>
      <c r="H13" s="9" t="s">
        <v>28</v>
      </c>
      <c r="I13" s="54"/>
      <c r="J13" s="9"/>
      <c r="K13" s="9"/>
      <c r="L13" s="9"/>
      <c r="M13" s="44"/>
      <c r="N13" s="43"/>
      <c r="O13" s="9"/>
      <c r="P13" s="38">
        <f t="shared" si="3"/>
        <v>0</v>
      </c>
      <c r="Q13" s="54"/>
      <c r="R13" s="44"/>
    </row>
    <row r="14" spans="1:18" ht="114.75" customHeight="1" x14ac:dyDescent="0.25">
      <c r="A14" s="9">
        <v>5</v>
      </c>
      <c r="B14" s="10" t="s">
        <v>6</v>
      </c>
      <c r="C14" s="43"/>
      <c r="D14" s="9"/>
      <c r="E14" s="38">
        <f t="shared" si="1"/>
        <v>0</v>
      </c>
      <c r="F14" s="9" t="s">
        <v>28</v>
      </c>
      <c r="G14" s="38">
        <f t="shared" si="2"/>
        <v>0</v>
      </c>
      <c r="H14" s="9" t="s">
        <v>28</v>
      </c>
      <c r="I14" s="54"/>
      <c r="J14" s="9"/>
      <c r="K14" s="9"/>
      <c r="L14" s="9"/>
      <c r="M14" s="44"/>
      <c r="N14" s="43"/>
      <c r="O14" s="9"/>
      <c r="P14" s="38">
        <f t="shared" ref="P14" si="4">IFERROR(ROUND(N14/O14,9),0)</f>
        <v>0</v>
      </c>
      <c r="Q14" s="54"/>
      <c r="R14" s="44"/>
    </row>
    <row r="15" spans="1:18" s="32" customFormat="1" ht="60" x14ac:dyDescent="0.25">
      <c r="A15" s="30">
        <v>6</v>
      </c>
      <c r="B15" s="31" t="s">
        <v>7</v>
      </c>
      <c r="C15" s="46"/>
      <c r="D15" s="30"/>
      <c r="E15" s="39">
        <f t="shared" si="1"/>
        <v>0</v>
      </c>
      <c r="F15" s="30">
        <v>0.95</v>
      </c>
      <c r="G15" s="30" t="s">
        <v>28</v>
      </c>
      <c r="H15" s="39">
        <f>IFERROR(ROUND(E15/F15,9),0)</f>
        <v>0</v>
      </c>
      <c r="I15" s="55"/>
      <c r="J15" s="30" t="s">
        <v>28</v>
      </c>
      <c r="K15" s="30"/>
      <c r="L15" s="30"/>
      <c r="M15" s="48"/>
      <c r="N15" s="30" t="s">
        <v>28</v>
      </c>
      <c r="O15" s="30" t="s">
        <v>28</v>
      </c>
      <c r="P15" s="30" t="s">
        <v>28</v>
      </c>
      <c r="Q15" s="55" t="s">
        <v>28</v>
      </c>
      <c r="R15" s="48"/>
    </row>
    <row r="16" spans="1:18" ht="132" x14ac:dyDescent="0.25">
      <c r="A16" s="9">
        <v>7</v>
      </c>
      <c r="B16" s="10" t="s">
        <v>8</v>
      </c>
      <c r="C16" s="43"/>
      <c r="D16" s="9"/>
      <c r="E16" s="38">
        <f t="shared" si="1"/>
        <v>0</v>
      </c>
      <c r="F16" s="9" t="s">
        <v>28</v>
      </c>
      <c r="G16" s="38">
        <f t="shared" si="2"/>
        <v>0</v>
      </c>
      <c r="H16" s="9" t="s">
        <v>28</v>
      </c>
      <c r="I16" s="54"/>
      <c r="J16" s="9"/>
      <c r="K16" s="9"/>
      <c r="L16" s="9"/>
      <c r="M16" s="44"/>
      <c r="N16" s="43"/>
      <c r="O16" s="9"/>
      <c r="P16" s="38">
        <f t="shared" ref="P16" si="5">IFERROR(ROUND(N16/O16,9),0)</f>
        <v>0</v>
      </c>
      <c r="Q16" s="54"/>
      <c r="R16" s="44"/>
    </row>
    <row r="17" spans="1:18" ht="144" x14ac:dyDescent="0.25">
      <c r="A17" s="9">
        <v>8</v>
      </c>
      <c r="B17" s="10" t="s">
        <v>15</v>
      </c>
      <c r="C17" s="43"/>
      <c r="D17" s="9"/>
      <c r="E17" s="38">
        <f t="shared" si="1"/>
        <v>0</v>
      </c>
      <c r="F17" s="9" t="s">
        <v>28</v>
      </c>
      <c r="G17" s="38">
        <f t="shared" si="2"/>
        <v>0</v>
      </c>
      <c r="H17" s="9" t="s">
        <v>28</v>
      </c>
      <c r="I17" s="54"/>
      <c r="J17" s="9"/>
      <c r="K17" s="9"/>
      <c r="L17" s="9"/>
      <c r="M17" s="44"/>
      <c r="N17" s="43"/>
      <c r="O17" s="9"/>
      <c r="P17" s="38">
        <f t="shared" ref="P17" si="6">IFERROR(ROUND(N17/O17,9),0)</f>
        <v>0</v>
      </c>
      <c r="Q17" s="54"/>
      <c r="R17" s="44"/>
    </row>
    <row r="18" spans="1:18" ht="108" x14ac:dyDescent="0.25">
      <c r="A18" s="9">
        <v>9</v>
      </c>
      <c r="B18" s="10" t="s">
        <v>14</v>
      </c>
      <c r="C18" s="43"/>
      <c r="D18" s="9"/>
      <c r="E18" s="38">
        <f t="shared" si="1"/>
        <v>0</v>
      </c>
      <c r="F18" s="9">
        <v>0.8</v>
      </c>
      <c r="G18" s="9" t="s">
        <v>28</v>
      </c>
      <c r="H18" s="9"/>
      <c r="I18" s="54"/>
      <c r="J18" s="9" t="s">
        <v>28</v>
      </c>
      <c r="K18" s="9"/>
      <c r="L18" s="9"/>
      <c r="M18" s="44"/>
      <c r="N18" s="9" t="s">
        <v>28</v>
      </c>
      <c r="O18" s="9" t="s">
        <v>28</v>
      </c>
      <c r="P18" s="9" t="s">
        <v>28</v>
      </c>
      <c r="Q18" s="54" t="s">
        <v>28</v>
      </c>
      <c r="R18" s="44"/>
    </row>
    <row r="19" spans="1:18" ht="120" x14ac:dyDescent="0.25">
      <c r="A19" s="9">
        <v>10</v>
      </c>
      <c r="B19" s="10" t="s">
        <v>13</v>
      </c>
      <c r="C19" s="43"/>
      <c r="D19" s="9"/>
      <c r="E19" s="38">
        <f t="shared" si="1"/>
        <v>0</v>
      </c>
      <c r="F19" s="9">
        <v>0.8</v>
      </c>
      <c r="G19" s="9" t="s">
        <v>28</v>
      </c>
      <c r="H19" s="9"/>
      <c r="I19" s="54"/>
      <c r="J19" s="9" t="s">
        <v>28</v>
      </c>
      <c r="K19" s="9"/>
      <c r="L19" s="9"/>
      <c r="M19" s="44"/>
      <c r="N19" s="9" t="s">
        <v>28</v>
      </c>
      <c r="O19" s="9" t="s">
        <v>28</v>
      </c>
      <c r="P19" s="9" t="s">
        <v>28</v>
      </c>
      <c r="Q19" s="54" t="s">
        <v>28</v>
      </c>
      <c r="R19" s="44"/>
    </row>
    <row r="20" spans="1:18" ht="96" x14ac:dyDescent="0.25">
      <c r="A20" s="9">
        <v>11</v>
      </c>
      <c r="B20" s="10" t="s">
        <v>12</v>
      </c>
      <c r="C20" s="43"/>
      <c r="D20" s="9"/>
      <c r="E20" s="38">
        <f t="shared" si="1"/>
        <v>0</v>
      </c>
      <c r="F20" s="9">
        <v>0.8</v>
      </c>
      <c r="G20" s="9" t="s">
        <v>28</v>
      </c>
      <c r="H20" s="9"/>
      <c r="I20" s="54"/>
      <c r="J20" s="9" t="s">
        <v>28</v>
      </c>
      <c r="K20" s="9"/>
      <c r="L20" s="9"/>
      <c r="M20" s="44"/>
      <c r="N20" s="9" t="s">
        <v>28</v>
      </c>
      <c r="O20" s="9" t="s">
        <v>28</v>
      </c>
      <c r="P20" s="9" t="s">
        <v>28</v>
      </c>
      <c r="Q20" s="54" t="s">
        <v>28</v>
      </c>
      <c r="R20" s="44"/>
    </row>
    <row r="21" spans="1:18" ht="132" x14ac:dyDescent="0.25">
      <c r="A21" s="9">
        <v>12</v>
      </c>
      <c r="B21" s="10" t="s">
        <v>11</v>
      </c>
      <c r="C21" s="43"/>
      <c r="D21" s="9"/>
      <c r="E21" s="38">
        <f t="shared" si="1"/>
        <v>0</v>
      </c>
      <c r="F21" s="9" t="s">
        <v>28</v>
      </c>
      <c r="G21" s="38">
        <f t="shared" ref="G21:G23" si="7">IFERROR(ROUND((E21/P21*100-100),9),0)</f>
        <v>0</v>
      </c>
      <c r="H21" s="9" t="s">
        <v>28</v>
      </c>
      <c r="I21" s="54"/>
      <c r="J21" s="9"/>
      <c r="K21" s="9"/>
      <c r="L21" s="9"/>
      <c r="M21" s="44"/>
      <c r="N21" s="43"/>
      <c r="O21" s="9"/>
      <c r="P21" s="38">
        <f t="shared" ref="P21:P22" si="8">IFERROR(ROUND(N21/O21,9),0)</f>
        <v>0</v>
      </c>
      <c r="Q21" s="54"/>
      <c r="R21" s="44"/>
    </row>
    <row r="22" spans="1:18" ht="132" x14ac:dyDescent="0.25">
      <c r="A22" s="9">
        <v>13</v>
      </c>
      <c r="B22" s="10" t="s">
        <v>10</v>
      </c>
      <c r="C22" s="43"/>
      <c r="D22" s="9"/>
      <c r="E22" s="38">
        <f t="shared" si="1"/>
        <v>0</v>
      </c>
      <c r="F22" s="9" t="s">
        <v>28</v>
      </c>
      <c r="G22" s="38">
        <f t="shared" si="7"/>
        <v>0</v>
      </c>
      <c r="H22" s="9" t="s">
        <v>28</v>
      </c>
      <c r="I22" s="54"/>
      <c r="J22" s="9"/>
      <c r="K22" s="9"/>
      <c r="L22" s="9"/>
      <c r="M22" s="44"/>
      <c r="N22" s="43"/>
      <c r="O22" s="9"/>
      <c r="P22" s="38">
        <f t="shared" si="8"/>
        <v>0</v>
      </c>
      <c r="Q22" s="54"/>
      <c r="R22" s="44"/>
    </row>
    <row r="23" spans="1:18" ht="120" x14ac:dyDescent="0.25">
      <c r="A23" s="9">
        <v>14</v>
      </c>
      <c r="B23" s="12" t="s">
        <v>9</v>
      </c>
      <c r="C23" s="43"/>
      <c r="D23" s="9"/>
      <c r="E23" s="38">
        <f>IFERROR(ROUND(C23/D23,9),0)</f>
        <v>0</v>
      </c>
      <c r="F23" s="9" t="s">
        <v>28</v>
      </c>
      <c r="G23" s="38">
        <f t="shared" si="7"/>
        <v>0</v>
      </c>
      <c r="H23" s="9" t="s">
        <v>28</v>
      </c>
      <c r="I23" s="54"/>
      <c r="J23" s="9"/>
      <c r="K23" s="9"/>
      <c r="L23" s="9"/>
      <c r="M23" s="44"/>
      <c r="N23" s="43"/>
      <c r="O23" s="9"/>
      <c r="P23" s="38">
        <f>IFERROR(ROUND(N23/O23,9),0)</f>
        <v>0</v>
      </c>
      <c r="Q23" s="54"/>
      <c r="R23" s="44"/>
    </row>
    <row r="24" spans="1:18" x14ac:dyDescent="0.25">
      <c r="A24" s="13"/>
      <c r="B24" s="14"/>
      <c r="C24" s="469" t="s">
        <v>57</v>
      </c>
      <c r="D24" s="469"/>
      <c r="E24" s="469"/>
      <c r="F24" s="469"/>
      <c r="G24" s="469"/>
      <c r="H24" s="469"/>
      <c r="I24" s="469"/>
      <c r="J24" s="469"/>
      <c r="K24" s="469"/>
      <c r="L24" s="469"/>
      <c r="M24" s="469"/>
      <c r="N24" s="469"/>
      <c r="O24" s="469"/>
      <c r="P24" s="469"/>
      <c r="Q24" s="469"/>
      <c r="R24" s="470"/>
    </row>
    <row r="25" spans="1:18" s="32" customFormat="1" ht="36" x14ac:dyDescent="0.25">
      <c r="A25" s="30">
        <v>15</v>
      </c>
      <c r="B25" s="33" t="s">
        <v>16</v>
      </c>
      <c r="C25" s="46"/>
      <c r="D25" s="30"/>
      <c r="E25" s="39">
        <f t="shared" ref="E25:E30" si="9">IFERROR(ROUND(C25/D25,9),0)</f>
        <v>0</v>
      </c>
      <c r="F25" s="30"/>
      <c r="G25" s="30" t="s">
        <v>28</v>
      </c>
      <c r="H25" s="30"/>
      <c r="I25" s="55"/>
      <c r="J25" s="30" t="s">
        <v>28</v>
      </c>
      <c r="K25" s="30"/>
      <c r="L25" s="30"/>
      <c r="M25" s="48"/>
      <c r="N25" s="30" t="s">
        <v>28</v>
      </c>
      <c r="O25" s="30" t="s">
        <v>28</v>
      </c>
      <c r="P25" s="30" t="s">
        <v>28</v>
      </c>
      <c r="Q25" s="55" t="s">
        <v>28</v>
      </c>
      <c r="R25" s="48"/>
    </row>
    <row r="26" spans="1:18" ht="108" x14ac:dyDescent="0.25">
      <c r="A26" s="9">
        <v>16</v>
      </c>
      <c r="B26" s="12" t="s">
        <v>17</v>
      </c>
      <c r="C26" s="43"/>
      <c r="D26" s="9"/>
      <c r="E26" s="45">
        <f t="shared" si="9"/>
        <v>0</v>
      </c>
      <c r="F26" s="9">
        <v>0.7</v>
      </c>
      <c r="G26" s="9" t="s">
        <v>28</v>
      </c>
      <c r="H26" s="38">
        <f t="shared" ref="H26:H30" si="10">IFERROR(ROUND(E26/F26,9),0)</f>
        <v>0</v>
      </c>
      <c r="I26" s="54"/>
      <c r="J26" s="9" t="s">
        <v>28</v>
      </c>
      <c r="K26" s="9"/>
      <c r="L26" s="9"/>
      <c r="M26" s="44"/>
      <c r="N26" s="9" t="s">
        <v>28</v>
      </c>
      <c r="O26" s="9" t="s">
        <v>28</v>
      </c>
      <c r="P26" s="9" t="s">
        <v>28</v>
      </c>
      <c r="Q26" s="54" t="s">
        <v>28</v>
      </c>
      <c r="R26" s="44"/>
    </row>
    <row r="27" spans="1:18" ht="96" x14ac:dyDescent="0.25">
      <c r="A27" s="9">
        <v>17</v>
      </c>
      <c r="B27" s="12" t="s">
        <v>18</v>
      </c>
      <c r="C27" s="43"/>
      <c r="D27" s="9"/>
      <c r="E27" s="45">
        <f t="shared" si="9"/>
        <v>0</v>
      </c>
      <c r="F27" s="9">
        <v>0.7</v>
      </c>
      <c r="G27" s="9" t="s">
        <v>28</v>
      </c>
      <c r="H27" s="38">
        <f t="shared" si="10"/>
        <v>0</v>
      </c>
      <c r="I27" s="54"/>
      <c r="J27" s="9" t="s">
        <v>28</v>
      </c>
      <c r="K27" s="9"/>
      <c r="L27" s="9"/>
      <c r="M27" s="44"/>
      <c r="N27" s="9" t="s">
        <v>28</v>
      </c>
      <c r="O27" s="9" t="s">
        <v>28</v>
      </c>
      <c r="P27" s="9" t="s">
        <v>28</v>
      </c>
      <c r="Q27" s="54" t="s">
        <v>28</v>
      </c>
      <c r="R27" s="44"/>
    </row>
    <row r="28" spans="1:18" ht="96" x14ac:dyDescent="0.25">
      <c r="A28" s="9">
        <v>18</v>
      </c>
      <c r="B28" s="12" t="s">
        <v>19</v>
      </c>
      <c r="C28" s="43"/>
      <c r="D28" s="9"/>
      <c r="E28" s="45">
        <f t="shared" si="9"/>
        <v>0</v>
      </c>
      <c r="F28" s="9">
        <v>0.7</v>
      </c>
      <c r="G28" s="9" t="s">
        <v>28</v>
      </c>
      <c r="H28" s="38">
        <f t="shared" si="10"/>
        <v>0</v>
      </c>
      <c r="I28" s="54"/>
      <c r="J28" s="9" t="s">
        <v>28</v>
      </c>
      <c r="K28" s="9"/>
      <c r="L28" s="9"/>
      <c r="M28" s="44"/>
      <c r="N28" s="9" t="s">
        <v>28</v>
      </c>
      <c r="O28" s="9" t="s">
        <v>28</v>
      </c>
      <c r="P28" s="9" t="s">
        <v>28</v>
      </c>
      <c r="Q28" s="54" t="s">
        <v>28</v>
      </c>
      <c r="R28" s="44"/>
    </row>
    <row r="29" spans="1:18" ht="96" x14ac:dyDescent="0.25">
      <c r="A29" s="9">
        <v>19</v>
      </c>
      <c r="B29" s="12" t="s">
        <v>20</v>
      </c>
      <c r="C29" s="43"/>
      <c r="D29" s="9"/>
      <c r="E29" s="45">
        <f t="shared" si="9"/>
        <v>0</v>
      </c>
      <c r="F29" s="9">
        <v>0.7</v>
      </c>
      <c r="G29" s="9" t="s">
        <v>28</v>
      </c>
      <c r="H29" s="38">
        <f t="shared" si="10"/>
        <v>0</v>
      </c>
      <c r="I29" s="54"/>
      <c r="J29" s="9" t="s">
        <v>28</v>
      </c>
      <c r="K29" s="9"/>
      <c r="L29" s="9"/>
      <c r="M29" s="44"/>
      <c r="N29" s="9" t="s">
        <v>28</v>
      </c>
      <c r="O29" s="9" t="s">
        <v>28</v>
      </c>
      <c r="P29" s="9" t="s">
        <v>28</v>
      </c>
      <c r="Q29" s="54" t="s">
        <v>28</v>
      </c>
      <c r="R29" s="44"/>
    </row>
    <row r="30" spans="1:18" ht="132" x14ac:dyDescent="0.25">
      <c r="A30" s="9">
        <v>20</v>
      </c>
      <c r="B30" s="12" t="s">
        <v>21</v>
      </c>
      <c r="C30" s="43"/>
      <c r="D30" s="9"/>
      <c r="E30" s="45">
        <f t="shared" si="9"/>
        <v>0</v>
      </c>
      <c r="F30" s="9">
        <v>0.7</v>
      </c>
      <c r="G30" s="9" t="s">
        <v>28</v>
      </c>
      <c r="H30" s="38">
        <f t="shared" si="10"/>
        <v>0</v>
      </c>
      <c r="I30" s="54"/>
      <c r="J30" s="9" t="s">
        <v>28</v>
      </c>
      <c r="K30" s="9"/>
      <c r="L30" s="9"/>
      <c r="M30" s="44"/>
      <c r="N30" s="9" t="s">
        <v>28</v>
      </c>
      <c r="O30" s="9" t="s">
        <v>28</v>
      </c>
      <c r="P30" s="9" t="s">
        <v>28</v>
      </c>
      <c r="Q30" s="54" t="s">
        <v>28</v>
      </c>
      <c r="R30" s="44"/>
    </row>
    <row r="31" spans="1:18" x14ac:dyDescent="0.25">
      <c r="A31" s="13"/>
      <c r="B31" s="14"/>
      <c r="C31" s="469" t="s">
        <v>58</v>
      </c>
      <c r="D31" s="469"/>
      <c r="E31" s="469"/>
      <c r="F31" s="469"/>
      <c r="G31" s="469"/>
      <c r="H31" s="469"/>
      <c r="I31" s="469"/>
      <c r="J31" s="469"/>
      <c r="K31" s="469"/>
      <c r="L31" s="469"/>
      <c r="M31" s="469"/>
      <c r="N31" s="469"/>
      <c r="O31" s="469"/>
      <c r="P31" s="469"/>
      <c r="Q31" s="469"/>
      <c r="R31" s="470"/>
    </row>
    <row r="32" spans="1:18" s="32" customFormat="1" ht="60" x14ac:dyDescent="0.25">
      <c r="A32" s="30">
        <v>21</v>
      </c>
      <c r="B32" s="31" t="s">
        <v>22</v>
      </c>
      <c r="C32" s="46"/>
      <c r="D32" s="30"/>
      <c r="E32" s="47">
        <f t="shared" ref="E32:E36" si="11">IFERROR(ROUND(C32/D32,9),0)</f>
        <v>0</v>
      </c>
      <c r="F32" s="30" t="s">
        <v>28</v>
      </c>
      <c r="G32" s="39">
        <f t="shared" ref="G32:G35" si="12">IFERROR(ROUND((E32/P32*100-100),9),0)</f>
        <v>0</v>
      </c>
      <c r="H32" s="30" t="s">
        <v>28</v>
      </c>
      <c r="I32" s="55"/>
      <c r="J32" s="30"/>
      <c r="K32" s="30"/>
      <c r="L32" s="30"/>
      <c r="M32" s="48"/>
      <c r="N32" s="46"/>
      <c r="O32" s="30"/>
      <c r="P32" s="39">
        <f>IFERROR(ROUND(N32/O32,9),0)</f>
        <v>0</v>
      </c>
      <c r="Q32" s="55"/>
      <c r="R32" s="48"/>
    </row>
    <row r="33" spans="1:18" s="32" customFormat="1" ht="84" x14ac:dyDescent="0.25">
      <c r="A33" s="30">
        <v>22</v>
      </c>
      <c r="B33" s="31" t="s">
        <v>23</v>
      </c>
      <c r="C33" s="46"/>
      <c r="D33" s="30"/>
      <c r="E33" s="47">
        <f t="shared" si="11"/>
        <v>0</v>
      </c>
      <c r="F33" s="30">
        <v>0.01</v>
      </c>
      <c r="G33" s="30" t="s">
        <v>28</v>
      </c>
      <c r="H33" s="39">
        <f t="shared" ref="H33" si="13">IFERROR(ROUND(E33/F33,9),0)</f>
        <v>0</v>
      </c>
      <c r="I33" s="55"/>
      <c r="J33" s="30" t="s">
        <v>28</v>
      </c>
      <c r="K33" s="30"/>
      <c r="L33" s="30"/>
      <c r="M33" s="48"/>
      <c r="N33" s="30" t="s">
        <v>28</v>
      </c>
      <c r="O33" s="30" t="s">
        <v>28</v>
      </c>
      <c r="P33" s="30" t="s">
        <v>28</v>
      </c>
      <c r="Q33" s="55" t="s">
        <v>28</v>
      </c>
      <c r="R33" s="48"/>
    </row>
    <row r="34" spans="1:18" ht="108" x14ac:dyDescent="0.25">
      <c r="A34" s="9">
        <v>23</v>
      </c>
      <c r="B34" s="10" t="s">
        <v>24</v>
      </c>
      <c r="C34" s="43"/>
      <c r="D34" s="9"/>
      <c r="E34" s="45">
        <f t="shared" si="11"/>
        <v>0</v>
      </c>
      <c r="F34" s="9" t="s">
        <v>28</v>
      </c>
      <c r="G34" s="38">
        <f t="shared" si="12"/>
        <v>0</v>
      </c>
      <c r="H34" s="9" t="s">
        <v>28</v>
      </c>
      <c r="I34" s="54"/>
      <c r="J34" s="9"/>
      <c r="K34" s="9"/>
      <c r="L34" s="9"/>
      <c r="M34" s="44"/>
      <c r="N34" s="43"/>
      <c r="O34" s="9"/>
      <c r="P34" s="38">
        <f>IFERROR(ROUND(N34/O34,9),0)</f>
        <v>0</v>
      </c>
      <c r="Q34" s="54"/>
      <c r="R34" s="44"/>
    </row>
    <row r="35" spans="1:18" ht="108" x14ac:dyDescent="0.25">
      <c r="A35" s="9">
        <v>24</v>
      </c>
      <c r="B35" s="10" t="s">
        <v>25</v>
      </c>
      <c r="C35" s="43"/>
      <c r="D35" s="9"/>
      <c r="E35" s="45">
        <f t="shared" si="11"/>
        <v>0</v>
      </c>
      <c r="F35" s="9" t="s">
        <v>28</v>
      </c>
      <c r="G35" s="38">
        <f t="shared" si="12"/>
        <v>0</v>
      </c>
      <c r="H35" s="9" t="s">
        <v>28</v>
      </c>
      <c r="I35" s="54"/>
      <c r="J35" s="9"/>
      <c r="K35" s="9"/>
      <c r="L35" s="9"/>
      <c r="M35" s="44"/>
      <c r="N35" s="43"/>
      <c r="O35" s="9"/>
      <c r="P35" s="38">
        <f>IFERROR(ROUND(N35/O35,9),0)</f>
        <v>0</v>
      </c>
      <c r="Q35" s="54"/>
      <c r="R35" s="44"/>
    </row>
    <row r="36" spans="1:18" s="32" customFormat="1" ht="84" x14ac:dyDescent="0.25">
      <c r="A36" s="30">
        <v>25</v>
      </c>
      <c r="B36" s="31" t="s">
        <v>26</v>
      </c>
      <c r="C36" s="46"/>
      <c r="D36" s="30"/>
      <c r="E36" s="47">
        <f t="shared" si="11"/>
        <v>0</v>
      </c>
      <c r="F36" s="30">
        <v>0.89</v>
      </c>
      <c r="G36" s="30" t="s">
        <v>28</v>
      </c>
      <c r="H36" s="39">
        <f t="shared" ref="H36:H38" si="14">IFERROR(ROUND(E36/F36,9),0)</f>
        <v>0</v>
      </c>
      <c r="I36" s="55"/>
      <c r="J36" s="30" t="s">
        <v>28</v>
      </c>
      <c r="K36" s="30"/>
      <c r="L36" s="30"/>
      <c r="M36" s="48"/>
      <c r="N36" s="30" t="s">
        <v>28</v>
      </c>
      <c r="O36" s="30" t="s">
        <v>28</v>
      </c>
      <c r="P36" s="30" t="s">
        <v>28</v>
      </c>
      <c r="Q36" s="55" t="s">
        <v>28</v>
      </c>
      <c r="R36" s="48"/>
    </row>
    <row r="37" spans="1:18" x14ac:dyDescent="0.25">
      <c r="A37" s="15"/>
      <c r="B37" s="16"/>
      <c r="C37" s="469" t="s">
        <v>59</v>
      </c>
      <c r="D37" s="469"/>
      <c r="E37" s="469"/>
      <c r="F37" s="469"/>
      <c r="G37" s="469"/>
      <c r="H37" s="469"/>
      <c r="I37" s="469"/>
      <c r="J37" s="469"/>
      <c r="K37" s="469"/>
      <c r="L37" s="469"/>
      <c r="M37" s="469"/>
      <c r="N37" s="469"/>
      <c r="O37" s="469"/>
      <c r="P37" s="469"/>
      <c r="Q37" s="469"/>
      <c r="R37" s="470"/>
    </row>
    <row r="38" spans="1:18" s="37" customFormat="1" ht="36" x14ac:dyDescent="0.25">
      <c r="A38" s="34">
        <v>26</v>
      </c>
      <c r="B38" s="35" t="s">
        <v>40</v>
      </c>
      <c r="C38" s="42"/>
      <c r="D38" s="34"/>
      <c r="E38" s="49">
        <f>IFERROR(ROUND(C38/D38,9),0)</f>
        <v>0</v>
      </c>
      <c r="F38" s="34">
        <v>1</v>
      </c>
      <c r="G38" s="34" t="s">
        <v>28</v>
      </c>
      <c r="H38" s="40">
        <f t="shared" si="14"/>
        <v>0</v>
      </c>
      <c r="I38" s="56"/>
      <c r="J38" s="34"/>
      <c r="K38" s="34"/>
      <c r="L38" s="34"/>
      <c r="M38" s="41"/>
      <c r="N38" s="42" t="s">
        <v>28</v>
      </c>
      <c r="O38" s="34" t="s">
        <v>28</v>
      </c>
      <c r="P38" s="34" t="s">
        <v>28</v>
      </c>
      <c r="Q38" s="56" t="s">
        <v>28</v>
      </c>
      <c r="R38" s="41"/>
    </row>
    <row r="39" spans="1:18" x14ac:dyDescent="0.25">
      <c r="A39" s="9"/>
      <c r="B39" s="10"/>
      <c r="C39" s="43"/>
      <c r="D39" s="9"/>
      <c r="E39" s="9"/>
      <c r="F39" s="9"/>
      <c r="G39" s="9"/>
      <c r="H39" s="9"/>
      <c r="I39" s="54"/>
      <c r="J39" s="9"/>
      <c r="K39" s="9"/>
      <c r="L39" s="9"/>
      <c r="M39" s="44"/>
      <c r="N39" s="43"/>
      <c r="O39" s="9"/>
      <c r="P39" s="9"/>
      <c r="Q39" s="54"/>
      <c r="R39" s="44"/>
    </row>
    <row r="40" spans="1:18" x14ac:dyDescent="0.25">
      <c r="A40" s="9"/>
      <c r="B40" s="10"/>
      <c r="C40" s="43"/>
      <c r="D40" s="9"/>
      <c r="E40" s="9"/>
      <c r="F40" s="9"/>
      <c r="G40" s="9"/>
      <c r="H40" s="9"/>
      <c r="I40" s="54"/>
      <c r="J40" s="9"/>
      <c r="K40" s="9"/>
      <c r="L40" s="9"/>
      <c r="M40" s="44"/>
      <c r="N40" s="43"/>
      <c r="O40" s="9"/>
      <c r="P40" s="9"/>
      <c r="Q40" s="54"/>
      <c r="R40" s="44"/>
    </row>
    <row r="41" spans="1:18" x14ac:dyDescent="0.25">
      <c r="A41" s="9"/>
      <c r="B41" s="10"/>
      <c r="C41" s="43"/>
      <c r="D41" s="9"/>
      <c r="E41" s="9"/>
      <c r="F41" s="9"/>
      <c r="G41" s="9"/>
      <c r="H41" s="9"/>
      <c r="I41" s="54"/>
      <c r="J41" s="9"/>
      <c r="K41" s="9"/>
      <c r="L41" s="9"/>
      <c r="M41" s="44"/>
      <c r="N41" s="43"/>
      <c r="O41" s="9"/>
      <c r="P41" s="9"/>
      <c r="Q41" s="54"/>
      <c r="R41" s="44"/>
    </row>
    <row r="42" spans="1:18" x14ac:dyDescent="0.25">
      <c r="A42" s="9"/>
      <c r="B42" s="10"/>
      <c r="C42" s="43"/>
      <c r="D42" s="9"/>
      <c r="E42" s="9"/>
      <c r="F42" s="9"/>
      <c r="G42" s="9"/>
      <c r="H42" s="9"/>
      <c r="I42" s="54"/>
      <c r="J42" s="9"/>
      <c r="K42" s="9"/>
      <c r="L42" s="9"/>
      <c r="M42" s="44"/>
      <c r="N42" s="43"/>
      <c r="O42" s="9"/>
      <c r="P42" s="9"/>
      <c r="Q42" s="54"/>
      <c r="R42" s="44"/>
    </row>
    <row r="43" spans="1:18" x14ac:dyDescent="0.25">
      <c r="A43" s="9"/>
      <c r="B43" s="10"/>
      <c r="C43" s="43"/>
      <c r="D43" s="9"/>
      <c r="E43" s="9"/>
      <c r="F43" s="9"/>
      <c r="G43" s="9"/>
      <c r="H43" s="9"/>
      <c r="I43" s="54"/>
      <c r="J43" s="9"/>
      <c r="K43" s="9"/>
      <c r="L43" s="9"/>
      <c r="M43" s="44"/>
      <c r="N43" s="43"/>
      <c r="O43" s="9"/>
      <c r="P43" s="9"/>
      <c r="Q43" s="54"/>
      <c r="R43" s="44"/>
    </row>
    <row r="44" spans="1:18" x14ac:dyDescent="0.25">
      <c r="A44" s="9"/>
      <c r="B44" s="10"/>
      <c r="C44" s="43"/>
      <c r="D44" s="9"/>
      <c r="E44" s="9"/>
      <c r="F44" s="9"/>
      <c r="G44" s="9"/>
      <c r="H44" s="9"/>
      <c r="I44" s="54"/>
      <c r="J44" s="9"/>
      <c r="K44" s="9"/>
      <c r="L44" s="9"/>
      <c r="M44" s="44"/>
      <c r="N44" s="43"/>
      <c r="O44" s="9"/>
      <c r="P44" s="9"/>
      <c r="Q44" s="54"/>
      <c r="R44" s="44"/>
    </row>
    <row r="45" spans="1:18" x14ac:dyDescent="0.25">
      <c r="A45" s="9"/>
      <c r="B45" s="10"/>
      <c r="C45" s="43"/>
      <c r="D45" s="9"/>
      <c r="E45" s="9"/>
      <c r="F45" s="9"/>
      <c r="G45" s="9"/>
      <c r="H45" s="9"/>
      <c r="I45" s="54"/>
      <c r="J45" s="9"/>
      <c r="K45" s="9"/>
      <c r="L45" s="9"/>
      <c r="M45" s="44"/>
      <c r="N45" s="43"/>
      <c r="O45" s="9"/>
      <c r="P45" s="9"/>
      <c r="Q45" s="54"/>
      <c r="R45" s="44"/>
    </row>
    <row r="46" spans="1:18" x14ac:dyDescent="0.25">
      <c r="A46" s="9"/>
      <c r="B46" s="10"/>
      <c r="C46" s="43"/>
      <c r="D46" s="9"/>
      <c r="E46" s="9"/>
      <c r="F46" s="9"/>
      <c r="G46" s="9"/>
      <c r="H46" s="9"/>
      <c r="I46" s="54"/>
      <c r="J46" s="9"/>
      <c r="K46" s="9"/>
      <c r="L46" s="9"/>
      <c r="M46" s="44"/>
      <c r="N46" s="43"/>
      <c r="O46" s="9"/>
      <c r="P46" s="9"/>
      <c r="Q46" s="54"/>
      <c r="R46" s="44"/>
    </row>
    <row r="47" spans="1:18" x14ac:dyDescent="0.25">
      <c r="A47" s="9"/>
      <c r="B47" s="10"/>
      <c r="C47" s="43"/>
      <c r="D47" s="9"/>
      <c r="E47" s="9"/>
      <c r="F47" s="9"/>
      <c r="G47" s="9"/>
      <c r="H47" s="9"/>
      <c r="I47" s="54"/>
      <c r="J47" s="9"/>
      <c r="K47" s="9"/>
      <c r="L47" s="9"/>
      <c r="M47" s="44"/>
      <c r="N47" s="43"/>
      <c r="O47" s="9"/>
      <c r="P47" s="9"/>
      <c r="Q47" s="54"/>
      <c r="R47" s="44"/>
    </row>
    <row r="48" spans="1:18" ht="51.75" customHeight="1" x14ac:dyDescent="0.25">
      <c r="A48" s="353" t="s">
        <v>37</v>
      </c>
      <c r="B48" s="353"/>
      <c r="C48" s="353"/>
      <c r="D48" s="353"/>
      <c r="E48" s="353"/>
      <c r="F48" s="353"/>
      <c r="G48" s="353"/>
      <c r="H48" s="353"/>
      <c r="I48" s="353"/>
      <c r="J48" s="353"/>
      <c r="K48" s="353"/>
      <c r="L48" s="353"/>
      <c r="M48" s="353"/>
      <c r="N48" s="353"/>
      <c r="O48" s="353"/>
      <c r="P48" s="353"/>
      <c r="Q48" s="353"/>
      <c r="R48" s="353"/>
    </row>
    <row r="49" spans="1:18" ht="19.5" customHeight="1" x14ac:dyDescent="0.25">
      <c r="A49" s="349" t="s">
        <v>38</v>
      </c>
      <c r="B49" s="350"/>
      <c r="C49" s="350"/>
      <c r="D49" s="350"/>
      <c r="E49" s="350"/>
      <c r="F49" s="350"/>
      <c r="G49" s="350"/>
      <c r="H49" s="350"/>
      <c r="I49" s="350"/>
      <c r="J49" s="350"/>
      <c r="K49" s="350"/>
      <c r="L49" s="350"/>
      <c r="M49" s="350"/>
      <c r="N49" s="350"/>
      <c r="O49" s="350"/>
      <c r="P49" s="350"/>
      <c r="Q49" s="57"/>
      <c r="R49" s="6"/>
    </row>
    <row r="50" spans="1:18" x14ac:dyDescent="0.25">
      <c r="A50" s="4" t="s">
        <v>39</v>
      </c>
      <c r="B50" s="17"/>
      <c r="C50" s="18"/>
      <c r="D50" s="6"/>
      <c r="E50" s="6"/>
      <c r="F50" s="6"/>
      <c r="G50" s="6"/>
      <c r="H50" s="6"/>
      <c r="I50" s="57"/>
      <c r="J50" s="6"/>
      <c r="K50" s="6"/>
      <c r="L50" s="6"/>
      <c r="M50" s="6"/>
      <c r="N50" s="6"/>
      <c r="O50" s="6"/>
      <c r="P50" s="6"/>
      <c r="Q50" s="57"/>
      <c r="R50" s="6"/>
    </row>
  </sheetData>
  <autoFilter ref="A8:R50"/>
  <mergeCells count="28">
    <mergeCell ref="A1:R1"/>
    <mergeCell ref="L3:L5"/>
    <mergeCell ref="M3:M5"/>
    <mergeCell ref="N3:N5"/>
    <mergeCell ref="C2:M2"/>
    <mergeCell ref="C3:C5"/>
    <mergeCell ref="D3:D5"/>
    <mergeCell ref="E3:E5"/>
    <mergeCell ref="R3:R5"/>
    <mergeCell ref="N2:R2"/>
    <mergeCell ref="G3:G5"/>
    <mergeCell ref="I3:I5"/>
    <mergeCell ref="A2:A7"/>
    <mergeCell ref="B2:B7"/>
    <mergeCell ref="A49:P49"/>
    <mergeCell ref="Q3:Q5"/>
    <mergeCell ref="A48:R48"/>
    <mergeCell ref="C37:R37"/>
    <mergeCell ref="C6:R6"/>
    <mergeCell ref="C9:R9"/>
    <mergeCell ref="C24:R24"/>
    <mergeCell ref="C31:R31"/>
    <mergeCell ref="F3:F5"/>
    <mergeCell ref="J3:J5"/>
    <mergeCell ref="K3:K5"/>
    <mergeCell ref="H3:H5"/>
    <mergeCell ref="O3:O5"/>
    <mergeCell ref="P3:P5"/>
  </mergeCells>
  <pageMargins left="0.11811023622047245" right="0.11811023622047245" top="0.35433070866141736" bottom="0.35433070866141736" header="0.31496062992125984" footer="0.31496062992125984"/>
  <pageSetup paperSize="8" scale="63" fitToHeight="0" orientation="landscape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62"/>
  <sheetViews>
    <sheetView tabSelected="1" view="pageBreakPreview" topLeftCell="A7" zoomScale="70" zoomScaleNormal="70" zoomScaleSheetLayoutView="70" workbookViewId="0">
      <pane xSplit="2" ySplit="8" topLeftCell="C42" activePane="bottomRight" state="frozen"/>
      <selection activeCell="A7" sqref="A7"/>
      <selection pane="topRight" activeCell="C7" sqref="C7"/>
      <selection pane="bottomLeft" activeCell="A15" sqref="A15"/>
      <selection pane="bottomRight" activeCell="F59" sqref="F59"/>
    </sheetView>
  </sheetViews>
  <sheetFormatPr defaultColWidth="9.140625" defaultRowHeight="15" x14ac:dyDescent="0.25"/>
  <cols>
    <col min="1" max="1" width="9.42578125" style="178" customWidth="1"/>
    <col min="2" max="2" width="28.42578125" style="179" customWidth="1"/>
    <col min="3" max="3" width="16" style="180" customWidth="1"/>
    <col min="4" max="4" width="16.7109375" style="181" customWidth="1"/>
    <col min="5" max="5" width="24.28515625" style="181" customWidth="1"/>
    <col min="6" max="8" width="19.85546875" style="181" customWidth="1"/>
    <col min="9" max="9" width="19.85546875" style="182" customWidth="1"/>
    <col min="10" max="11" width="19.85546875" style="181" customWidth="1"/>
    <col min="12" max="12" width="18" style="181" customWidth="1"/>
    <col min="13" max="13" width="13.7109375" style="181" customWidth="1"/>
    <col min="14" max="14" width="16" style="181" customWidth="1"/>
    <col min="15" max="15" width="16.7109375" style="181" customWidth="1"/>
    <col min="16" max="16" width="24.28515625" style="181" customWidth="1"/>
    <col min="17" max="17" width="19.85546875" style="182" customWidth="1"/>
    <col min="18" max="18" width="13.140625" style="181" customWidth="1"/>
    <col min="19" max="21" width="9.140625" style="181"/>
    <col min="22" max="22" width="11" style="181" customWidth="1"/>
    <col min="23" max="16384" width="9.140625" style="181"/>
  </cols>
  <sheetData>
    <row r="1" spans="1:23" ht="16.5" x14ac:dyDescent="0.25">
      <c r="R1" s="112" t="s">
        <v>79</v>
      </c>
    </row>
    <row r="2" spans="1:23" ht="16.5" x14ac:dyDescent="0.25">
      <c r="R2" s="113" t="s">
        <v>78</v>
      </c>
    </row>
    <row r="3" spans="1:23" ht="16.5" x14ac:dyDescent="0.25">
      <c r="R3" s="98" t="s">
        <v>193</v>
      </c>
    </row>
    <row r="4" spans="1:23" ht="16.5" x14ac:dyDescent="0.25">
      <c r="Q4" s="113"/>
    </row>
    <row r="5" spans="1:23" ht="15.75" x14ac:dyDescent="0.25">
      <c r="R5" s="114" t="s">
        <v>82</v>
      </c>
    </row>
    <row r="6" spans="1:23" ht="25.5" customHeight="1" thickBot="1" x14ac:dyDescent="0.3">
      <c r="A6" s="382" t="str">
        <f>СВОД!A1</f>
        <v xml:space="preserve">Мониторинг достижения значений показателей результативности деятельности за декабрь 2023 – ноябрь 2024 года </v>
      </c>
      <c r="B6" s="382"/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  <c r="R6" s="382"/>
    </row>
    <row r="7" spans="1:23" s="183" customFormat="1" ht="21.75" customHeight="1" x14ac:dyDescent="0.25">
      <c r="A7" s="383" t="s">
        <v>55</v>
      </c>
      <c r="B7" s="386" t="s">
        <v>54</v>
      </c>
      <c r="C7" s="389" t="s">
        <v>52</v>
      </c>
      <c r="D7" s="389"/>
      <c r="E7" s="389"/>
      <c r="F7" s="389"/>
      <c r="G7" s="389"/>
      <c r="H7" s="389"/>
      <c r="I7" s="389"/>
      <c r="J7" s="389"/>
      <c r="K7" s="389"/>
      <c r="L7" s="389"/>
      <c r="M7" s="390"/>
      <c r="N7" s="391" t="s">
        <v>1</v>
      </c>
      <c r="O7" s="389"/>
      <c r="P7" s="389"/>
      <c r="Q7" s="389"/>
      <c r="R7" s="390"/>
    </row>
    <row r="8" spans="1:23" s="184" customFormat="1" ht="12" customHeight="1" x14ac:dyDescent="0.2">
      <c r="A8" s="384"/>
      <c r="B8" s="387"/>
      <c r="C8" s="392" t="s">
        <v>158</v>
      </c>
      <c r="D8" s="375" t="s">
        <v>159</v>
      </c>
      <c r="E8" s="375" t="s">
        <v>160</v>
      </c>
      <c r="F8" s="375" t="s">
        <v>161</v>
      </c>
      <c r="G8" s="375" t="s">
        <v>42</v>
      </c>
      <c r="H8" s="375" t="s">
        <v>43</v>
      </c>
      <c r="I8" s="376" t="s">
        <v>31</v>
      </c>
      <c r="J8" s="375" t="s">
        <v>29</v>
      </c>
      <c r="K8" s="375" t="s">
        <v>30</v>
      </c>
      <c r="L8" s="375" t="s">
        <v>32</v>
      </c>
      <c r="M8" s="381" t="s">
        <v>0</v>
      </c>
      <c r="N8" s="374" t="s">
        <v>158</v>
      </c>
      <c r="O8" s="375" t="s">
        <v>159</v>
      </c>
      <c r="P8" s="375" t="s">
        <v>160</v>
      </c>
      <c r="Q8" s="376" t="s">
        <v>31</v>
      </c>
      <c r="R8" s="381" t="s">
        <v>0</v>
      </c>
    </row>
    <row r="9" spans="1:23" s="184" customFormat="1" ht="12" customHeight="1" x14ac:dyDescent="0.2">
      <c r="A9" s="384"/>
      <c r="B9" s="387"/>
      <c r="C9" s="392"/>
      <c r="D9" s="375"/>
      <c r="E9" s="375"/>
      <c r="F9" s="375"/>
      <c r="G9" s="375"/>
      <c r="H9" s="375"/>
      <c r="I9" s="376"/>
      <c r="J9" s="375"/>
      <c r="K9" s="375"/>
      <c r="L9" s="375"/>
      <c r="M9" s="381"/>
      <c r="N9" s="374"/>
      <c r="O9" s="375"/>
      <c r="P9" s="375"/>
      <c r="Q9" s="376"/>
      <c r="R9" s="381"/>
    </row>
    <row r="10" spans="1:23" s="184" customFormat="1" ht="68.25" customHeight="1" x14ac:dyDescent="0.2">
      <c r="A10" s="384"/>
      <c r="B10" s="387"/>
      <c r="C10" s="392"/>
      <c r="D10" s="375"/>
      <c r="E10" s="375"/>
      <c r="F10" s="375"/>
      <c r="G10" s="375"/>
      <c r="H10" s="375"/>
      <c r="I10" s="376"/>
      <c r="J10" s="375"/>
      <c r="K10" s="375"/>
      <c r="L10" s="375"/>
      <c r="M10" s="381"/>
      <c r="N10" s="374"/>
      <c r="O10" s="375"/>
      <c r="P10" s="375"/>
      <c r="Q10" s="376"/>
      <c r="R10" s="381"/>
    </row>
    <row r="11" spans="1:23" s="184" customFormat="1" ht="15" customHeight="1" x14ac:dyDescent="0.2">
      <c r="A11" s="384"/>
      <c r="B11" s="387"/>
      <c r="C11" s="393" t="s">
        <v>27</v>
      </c>
      <c r="D11" s="393"/>
      <c r="E11" s="393"/>
      <c r="F11" s="393"/>
      <c r="G11" s="393"/>
      <c r="H11" s="393"/>
      <c r="I11" s="393"/>
      <c r="J11" s="393"/>
      <c r="K11" s="393"/>
      <c r="L11" s="393"/>
      <c r="M11" s="393"/>
      <c r="N11" s="393"/>
      <c r="O11" s="393"/>
      <c r="P11" s="393"/>
      <c r="Q11" s="393"/>
      <c r="R11" s="394"/>
    </row>
    <row r="12" spans="1:23" s="184" customFormat="1" ht="189.75" customHeight="1" x14ac:dyDescent="0.2">
      <c r="A12" s="385"/>
      <c r="B12" s="388"/>
      <c r="C12" s="185" t="s">
        <v>47</v>
      </c>
      <c r="D12" s="186" t="s">
        <v>47</v>
      </c>
      <c r="E12" s="186" t="s">
        <v>162</v>
      </c>
      <c r="F12" s="186" t="s">
        <v>163</v>
      </c>
      <c r="G12" s="186" t="s">
        <v>164</v>
      </c>
      <c r="H12" s="186" t="s">
        <v>165</v>
      </c>
      <c r="I12" s="187" t="s">
        <v>50</v>
      </c>
      <c r="J12" s="186" t="s">
        <v>44</v>
      </c>
      <c r="K12" s="186" t="s">
        <v>44</v>
      </c>
      <c r="L12" s="186" t="s">
        <v>166</v>
      </c>
      <c r="M12" s="188"/>
      <c r="N12" s="189" t="s">
        <v>47</v>
      </c>
      <c r="O12" s="186" t="s">
        <v>47</v>
      </c>
      <c r="P12" s="186" t="s">
        <v>167</v>
      </c>
      <c r="Q12" s="187" t="s">
        <v>45</v>
      </c>
      <c r="R12" s="188"/>
    </row>
    <row r="13" spans="1:23" s="182" customFormat="1" ht="14.25" x14ac:dyDescent="0.2">
      <c r="A13" s="190">
        <v>1</v>
      </c>
      <c r="B13" s="190">
        <v>2</v>
      </c>
      <c r="C13" s="191">
        <v>3</v>
      </c>
      <c r="D13" s="190">
        <v>4</v>
      </c>
      <c r="E13" s="191">
        <v>5</v>
      </c>
      <c r="F13" s="190">
        <v>6</v>
      </c>
      <c r="G13" s="191">
        <v>7</v>
      </c>
      <c r="H13" s="190">
        <v>8</v>
      </c>
      <c r="I13" s="191">
        <v>9</v>
      </c>
      <c r="J13" s="190">
        <v>10</v>
      </c>
      <c r="K13" s="191">
        <v>11</v>
      </c>
      <c r="L13" s="190">
        <v>12</v>
      </c>
      <c r="M13" s="191">
        <v>13</v>
      </c>
      <c r="N13" s="190">
        <v>14</v>
      </c>
      <c r="O13" s="191">
        <v>15</v>
      </c>
      <c r="P13" s="190">
        <v>16</v>
      </c>
      <c r="Q13" s="190">
        <v>17</v>
      </c>
      <c r="R13" s="190">
        <v>18</v>
      </c>
    </row>
    <row r="14" spans="1:23" ht="15" customHeight="1" x14ac:dyDescent="0.25">
      <c r="A14" s="174"/>
      <c r="B14" s="104"/>
      <c r="C14" s="377" t="s">
        <v>56</v>
      </c>
      <c r="D14" s="377"/>
      <c r="E14" s="377"/>
      <c r="F14" s="377"/>
      <c r="G14" s="377"/>
      <c r="H14" s="377"/>
      <c r="I14" s="377"/>
      <c r="J14" s="377"/>
      <c r="K14" s="377"/>
      <c r="L14" s="377"/>
      <c r="M14" s="377"/>
      <c r="N14" s="377"/>
      <c r="O14" s="377"/>
      <c r="P14" s="377"/>
      <c r="Q14" s="377"/>
      <c r="R14" s="378"/>
    </row>
    <row r="15" spans="1:23" ht="68.25" customHeight="1" x14ac:dyDescent="0.25">
      <c r="A15" s="192">
        <v>1</v>
      </c>
      <c r="B15" s="105" t="s">
        <v>2</v>
      </c>
      <c r="C15" s="193">
        <f>819+10276+2828+1951+1979</f>
        <v>17853</v>
      </c>
      <c r="D15" s="194">
        <f>14021+142680+613</f>
        <v>157314</v>
      </c>
      <c r="E15" s="195">
        <f>IFERROR(ROUND(C15/D15,9),0)</f>
        <v>0.113486403</v>
      </c>
      <c r="F15" s="196" t="s">
        <v>28</v>
      </c>
      <c r="G15" s="195">
        <f>IFERROR(ROUND((E15/P15*100-100),9),0)</f>
        <v>62.714110648000002</v>
      </c>
      <c r="H15" s="196" t="s">
        <v>28</v>
      </c>
      <c r="I15" s="197">
        <v>1</v>
      </c>
      <c r="J15" s="198"/>
      <c r="K15" s="198">
        <v>1</v>
      </c>
      <c r="L15" s="198">
        <v>1</v>
      </c>
      <c r="M15" s="199"/>
      <c r="N15" s="193">
        <f>511+11154</f>
        <v>11665</v>
      </c>
      <c r="O15" s="194">
        <f>14824+152426</f>
        <v>167250</v>
      </c>
      <c r="P15" s="195">
        <f t="shared" ref="P15:P19" si="0">IFERROR(ROUND(N15/O15,9),0)</f>
        <v>6.9745889000000005E-2</v>
      </c>
      <c r="Q15" s="200">
        <v>1</v>
      </c>
      <c r="R15" s="199"/>
      <c r="T15" s="182">
        <f t="shared" ref="T15:T28" si="1">IF(L15&gt;0,1)</f>
        <v>1</v>
      </c>
      <c r="U15" s="182">
        <f t="shared" ref="U15:U28" si="2">IF(I15&gt;0,1)</f>
        <v>1</v>
      </c>
      <c r="V15" s="182"/>
      <c r="W15" s="182"/>
    </row>
    <row r="16" spans="1:23" ht="164.25" customHeight="1" x14ac:dyDescent="0.25">
      <c r="A16" s="201">
        <v>2</v>
      </c>
      <c r="B16" s="106" t="s">
        <v>3</v>
      </c>
      <c r="C16" s="311">
        <v>67</v>
      </c>
      <c r="D16" s="312">
        <v>352</v>
      </c>
      <c r="E16" s="204">
        <f t="shared" ref="E16:E27" si="3">IFERROR(ROUND(C16/D16,9),0)</f>
        <v>0.190340909</v>
      </c>
      <c r="F16" s="205" t="s">
        <v>28</v>
      </c>
      <c r="G16" s="206">
        <f t="shared" ref="G16:G22" si="4">IFERROR(ROUND((E16/P16*100-100),9),0)</f>
        <v>-20.314907668</v>
      </c>
      <c r="H16" s="205" t="s">
        <v>28</v>
      </c>
      <c r="I16" s="207">
        <v>0</v>
      </c>
      <c r="J16" s="203">
        <v>0</v>
      </c>
      <c r="K16" s="208">
        <v>0</v>
      </c>
      <c r="L16" s="203">
        <v>1</v>
      </c>
      <c r="M16" s="209"/>
      <c r="N16" s="311">
        <v>118</v>
      </c>
      <c r="O16" s="312">
        <v>494</v>
      </c>
      <c r="P16" s="206">
        <f t="shared" si="0"/>
        <v>0.23886639700000001</v>
      </c>
      <c r="Q16" s="210">
        <v>2</v>
      </c>
      <c r="R16" s="209"/>
      <c r="T16" s="182">
        <f t="shared" si="1"/>
        <v>1</v>
      </c>
      <c r="U16" s="182" t="b">
        <f t="shared" si="2"/>
        <v>0</v>
      </c>
    </row>
    <row r="17" spans="1:21" ht="131.25" customHeight="1" x14ac:dyDescent="0.25">
      <c r="A17" s="201">
        <v>3</v>
      </c>
      <c r="B17" s="106" t="s">
        <v>4</v>
      </c>
      <c r="C17" s="311">
        <v>0</v>
      </c>
      <c r="D17" s="312">
        <v>86</v>
      </c>
      <c r="E17" s="211">
        <f t="shared" si="3"/>
        <v>0</v>
      </c>
      <c r="F17" s="208" t="s">
        <v>28</v>
      </c>
      <c r="G17" s="315">
        <f t="shared" si="4"/>
        <v>-100</v>
      </c>
      <c r="H17" s="203" t="s">
        <v>28</v>
      </c>
      <c r="I17" s="212">
        <v>0</v>
      </c>
      <c r="J17" s="203">
        <v>0</v>
      </c>
      <c r="K17" s="208">
        <v>0</v>
      </c>
      <c r="L17" s="208">
        <v>1</v>
      </c>
      <c r="M17" s="209"/>
      <c r="N17" s="311">
        <v>1</v>
      </c>
      <c r="O17" s="312">
        <v>88</v>
      </c>
      <c r="P17" s="206">
        <f t="shared" si="0"/>
        <v>1.1363636E-2</v>
      </c>
      <c r="Q17" s="210">
        <v>0.5</v>
      </c>
      <c r="R17" s="209"/>
      <c r="T17" s="182">
        <f t="shared" si="1"/>
        <v>1</v>
      </c>
      <c r="U17" s="182" t="b">
        <f t="shared" si="2"/>
        <v>0</v>
      </c>
    </row>
    <row r="18" spans="1:21" ht="144" customHeight="1" x14ac:dyDescent="0.25">
      <c r="A18" s="201">
        <v>4</v>
      </c>
      <c r="B18" s="106" t="s">
        <v>5</v>
      </c>
      <c r="C18" s="311">
        <v>9</v>
      </c>
      <c r="D18" s="312">
        <v>29</v>
      </c>
      <c r="E18" s="213">
        <f t="shared" si="3"/>
        <v>0.31034482800000002</v>
      </c>
      <c r="F18" s="203" t="s">
        <v>28</v>
      </c>
      <c r="G18" s="206">
        <f t="shared" si="4"/>
        <v>-44.137931004999999</v>
      </c>
      <c r="H18" s="203" t="s">
        <v>28</v>
      </c>
      <c r="I18" s="212">
        <v>0</v>
      </c>
      <c r="J18" s="203">
        <v>0</v>
      </c>
      <c r="K18" s="203">
        <v>0</v>
      </c>
      <c r="L18" s="203">
        <v>1</v>
      </c>
      <c r="M18" s="209"/>
      <c r="N18" s="311">
        <v>15</v>
      </c>
      <c r="O18" s="312">
        <v>27</v>
      </c>
      <c r="P18" s="206">
        <f t="shared" si="0"/>
        <v>0.55555555599999995</v>
      </c>
      <c r="Q18" s="210">
        <v>1</v>
      </c>
      <c r="R18" s="209"/>
      <c r="T18" s="182">
        <f t="shared" si="1"/>
        <v>1</v>
      </c>
      <c r="U18" s="182" t="b">
        <f t="shared" si="2"/>
        <v>0</v>
      </c>
    </row>
    <row r="19" spans="1:21" ht="117.75" customHeight="1" x14ac:dyDescent="0.25">
      <c r="A19" s="201">
        <v>5</v>
      </c>
      <c r="B19" s="106" t="s">
        <v>6</v>
      </c>
      <c r="C19" s="311">
        <v>60</v>
      </c>
      <c r="D19" s="312">
        <v>107</v>
      </c>
      <c r="E19" s="213">
        <f t="shared" si="3"/>
        <v>0.56074766399999998</v>
      </c>
      <c r="F19" s="203" t="s">
        <v>28</v>
      </c>
      <c r="G19" s="206">
        <f t="shared" si="4"/>
        <v>4.4680579280000003</v>
      </c>
      <c r="H19" s="203" t="s">
        <v>28</v>
      </c>
      <c r="I19" s="210">
        <v>0.5</v>
      </c>
      <c r="J19" s="203">
        <v>0</v>
      </c>
      <c r="K19" s="203">
        <v>1</v>
      </c>
      <c r="L19" s="203">
        <v>1</v>
      </c>
      <c r="M19" s="209"/>
      <c r="N19" s="311">
        <v>73</v>
      </c>
      <c r="O19" s="312">
        <v>136</v>
      </c>
      <c r="P19" s="206">
        <f t="shared" si="0"/>
        <v>0.53676470600000004</v>
      </c>
      <c r="Q19" s="210">
        <v>0</v>
      </c>
      <c r="R19" s="209"/>
      <c r="T19" s="182">
        <f t="shared" si="1"/>
        <v>1</v>
      </c>
      <c r="U19" s="182">
        <f t="shared" si="2"/>
        <v>1</v>
      </c>
    </row>
    <row r="20" spans="1:21" ht="69" customHeight="1" x14ac:dyDescent="0.25">
      <c r="A20" s="214">
        <v>6</v>
      </c>
      <c r="B20" s="107" t="s">
        <v>7</v>
      </c>
      <c r="C20" s="316">
        <v>800</v>
      </c>
      <c r="D20" s="224">
        <v>800</v>
      </c>
      <c r="E20" s="215">
        <f t="shared" si="3"/>
        <v>1</v>
      </c>
      <c r="F20" s="216">
        <v>0.95</v>
      </c>
      <c r="G20" s="216" t="s">
        <v>28</v>
      </c>
      <c r="H20" s="217">
        <f>IFERROR(ROUND(E20/F20,9),0)</f>
        <v>1.052631579</v>
      </c>
      <c r="I20" s="225">
        <v>2</v>
      </c>
      <c r="J20" s="216" t="s">
        <v>201</v>
      </c>
      <c r="K20" s="216">
        <v>0</v>
      </c>
      <c r="L20" s="216">
        <v>1</v>
      </c>
      <c r="M20" s="218"/>
      <c r="N20" s="216" t="s">
        <v>28</v>
      </c>
      <c r="O20" s="216" t="s">
        <v>28</v>
      </c>
      <c r="P20" s="216" t="s">
        <v>28</v>
      </c>
      <c r="Q20" s="218">
        <v>2</v>
      </c>
      <c r="R20" s="218"/>
      <c r="T20" s="182">
        <f t="shared" si="1"/>
        <v>1</v>
      </c>
      <c r="U20" s="182">
        <f t="shared" si="2"/>
        <v>1</v>
      </c>
    </row>
    <row r="21" spans="1:21" ht="148.5" customHeight="1" x14ac:dyDescent="0.25">
      <c r="A21" s="201">
        <v>7</v>
      </c>
      <c r="B21" s="106" t="s">
        <v>8</v>
      </c>
      <c r="C21" s="311">
        <v>4211</v>
      </c>
      <c r="D21" s="312">
        <v>6494</v>
      </c>
      <c r="E21" s="213">
        <f t="shared" si="3"/>
        <v>0.64844471800000003</v>
      </c>
      <c r="F21" s="203" t="s">
        <v>28</v>
      </c>
      <c r="G21" s="206">
        <f>IFERROR(ROUND((E21/P21*100-100),9),0)</f>
        <v>8.9317588299999997</v>
      </c>
      <c r="H21" s="203" t="s">
        <v>28</v>
      </c>
      <c r="I21" s="210">
        <v>2</v>
      </c>
      <c r="J21" s="203">
        <v>1</v>
      </c>
      <c r="K21" s="208">
        <v>0</v>
      </c>
      <c r="L21" s="203">
        <v>1</v>
      </c>
      <c r="M21" s="209"/>
      <c r="N21" s="313">
        <v>3730</v>
      </c>
      <c r="O21" s="314">
        <v>6266</v>
      </c>
      <c r="P21" s="206">
        <f t="shared" ref="P21:P22" si="5">IFERROR(ROUND(N21/O21,9),0)</f>
        <v>0.59527609299999995</v>
      </c>
      <c r="Q21" s="210">
        <v>2</v>
      </c>
      <c r="R21" s="209"/>
      <c r="T21" s="182">
        <f t="shared" si="1"/>
        <v>1</v>
      </c>
      <c r="U21" s="182">
        <f t="shared" si="2"/>
        <v>1</v>
      </c>
    </row>
    <row r="22" spans="1:21" ht="187.5" customHeight="1" x14ac:dyDescent="0.25">
      <c r="A22" s="201">
        <v>8</v>
      </c>
      <c r="B22" s="106" t="s">
        <v>15</v>
      </c>
      <c r="C22" s="311">
        <v>2216</v>
      </c>
      <c r="D22" s="312">
        <v>6494</v>
      </c>
      <c r="E22" s="213">
        <f t="shared" si="3"/>
        <v>0.34123806600000001</v>
      </c>
      <c r="F22" s="203" t="s">
        <v>28</v>
      </c>
      <c r="G22" s="206">
        <f t="shared" si="4"/>
        <v>-4.9267354149999996</v>
      </c>
      <c r="H22" s="203" t="s">
        <v>28</v>
      </c>
      <c r="I22" s="212">
        <v>0</v>
      </c>
      <c r="J22" s="203">
        <v>0</v>
      </c>
      <c r="K22" s="203">
        <v>0</v>
      </c>
      <c r="L22" s="203">
        <v>1</v>
      </c>
      <c r="M22" s="209"/>
      <c r="N22" s="311">
        <v>2249</v>
      </c>
      <c r="O22" s="312">
        <v>6266</v>
      </c>
      <c r="P22" s="206">
        <f t="shared" si="5"/>
        <v>0.35892116200000002</v>
      </c>
      <c r="Q22" s="210">
        <v>1</v>
      </c>
      <c r="R22" s="209"/>
      <c r="T22" s="182">
        <f t="shared" si="1"/>
        <v>1</v>
      </c>
      <c r="U22" s="182" t="b">
        <f t="shared" si="2"/>
        <v>0</v>
      </c>
    </row>
    <row r="23" spans="1:21" ht="138.75" customHeight="1" x14ac:dyDescent="0.25">
      <c r="A23" s="201">
        <v>9</v>
      </c>
      <c r="B23" s="106" t="s">
        <v>14</v>
      </c>
      <c r="C23" s="311">
        <v>68</v>
      </c>
      <c r="D23" s="312">
        <v>352</v>
      </c>
      <c r="E23" s="213">
        <f t="shared" si="3"/>
        <v>0.19318181800000001</v>
      </c>
      <c r="F23" s="203">
        <v>0.8</v>
      </c>
      <c r="G23" s="203" t="s">
        <v>28</v>
      </c>
      <c r="H23" s="206">
        <f>ROUND(E23/F23,9)</f>
        <v>0.24147727299999999</v>
      </c>
      <c r="I23" s="212">
        <v>0</v>
      </c>
      <c r="J23" s="203" t="s">
        <v>28</v>
      </c>
      <c r="K23" s="203">
        <v>0</v>
      </c>
      <c r="L23" s="203">
        <v>1</v>
      </c>
      <c r="M23" s="209"/>
      <c r="N23" s="203" t="s">
        <v>28</v>
      </c>
      <c r="O23" s="203" t="s">
        <v>28</v>
      </c>
      <c r="P23" s="203" t="s">
        <v>28</v>
      </c>
      <c r="Q23" s="212">
        <v>0</v>
      </c>
      <c r="R23" s="209"/>
      <c r="T23" s="182">
        <f t="shared" si="1"/>
        <v>1</v>
      </c>
      <c r="U23" s="182" t="b">
        <f t="shared" si="2"/>
        <v>0</v>
      </c>
    </row>
    <row r="24" spans="1:21" ht="157.5" customHeight="1" x14ac:dyDescent="0.25">
      <c r="A24" s="201">
        <v>10</v>
      </c>
      <c r="B24" s="106" t="s">
        <v>13</v>
      </c>
      <c r="C24" s="313">
        <v>6</v>
      </c>
      <c r="D24" s="312">
        <v>29</v>
      </c>
      <c r="E24" s="213">
        <f t="shared" si="3"/>
        <v>0.20689655200000001</v>
      </c>
      <c r="F24" s="203">
        <v>0.8</v>
      </c>
      <c r="G24" s="203" t="s">
        <v>28</v>
      </c>
      <c r="H24" s="206">
        <f>ROUND(E24/F24,9)</f>
        <v>0.25862068999999999</v>
      </c>
      <c r="I24" s="212">
        <v>0</v>
      </c>
      <c r="J24" s="203" t="s">
        <v>28</v>
      </c>
      <c r="K24" s="203">
        <v>0</v>
      </c>
      <c r="L24" s="203">
        <v>1</v>
      </c>
      <c r="M24" s="209"/>
      <c r="N24" s="203" t="s">
        <v>28</v>
      </c>
      <c r="O24" s="203" t="s">
        <v>28</v>
      </c>
      <c r="P24" s="203" t="s">
        <v>28</v>
      </c>
      <c r="Q24" s="212">
        <v>0</v>
      </c>
      <c r="R24" s="209"/>
      <c r="T24" s="182">
        <f t="shared" si="1"/>
        <v>1</v>
      </c>
      <c r="U24" s="182" t="b">
        <f t="shared" si="2"/>
        <v>0</v>
      </c>
    </row>
    <row r="25" spans="1:21" ht="133.5" customHeight="1" x14ac:dyDescent="0.25">
      <c r="A25" s="201">
        <v>11</v>
      </c>
      <c r="B25" s="106" t="s">
        <v>12</v>
      </c>
      <c r="C25" s="313">
        <v>73</v>
      </c>
      <c r="D25" s="312">
        <v>107</v>
      </c>
      <c r="E25" s="213">
        <f t="shared" si="3"/>
        <v>0.68224299099999997</v>
      </c>
      <c r="F25" s="203">
        <v>0.8</v>
      </c>
      <c r="G25" s="203" t="s">
        <v>28</v>
      </c>
      <c r="H25" s="206">
        <f>ROUND(E25/F25,9)</f>
        <v>0.85280373899999995</v>
      </c>
      <c r="I25" s="212">
        <v>0</v>
      </c>
      <c r="J25" s="203" t="s">
        <v>28</v>
      </c>
      <c r="K25" s="203">
        <v>0</v>
      </c>
      <c r="L25" s="203">
        <v>1</v>
      </c>
      <c r="M25" s="209"/>
      <c r="N25" s="203" t="s">
        <v>28</v>
      </c>
      <c r="O25" s="203" t="s">
        <v>28</v>
      </c>
      <c r="P25" s="203" t="s">
        <v>28</v>
      </c>
      <c r="Q25" s="212">
        <v>0</v>
      </c>
      <c r="R25" s="209"/>
      <c r="T25" s="182">
        <f t="shared" si="1"/>
        <v>1</v>
      </c>
      <c r="U25" s="182" t="b">
        <f t="shared" si="2"/>
        <v>0</v>
      </c>
    </row>
    <row r="26" spans="1:21" ht="170.25" customHeight="1" x14ac:dyDescent="0.25">
      <c r="A26" s="201">
        <v>12</v>
      </c>
      <c r="B26" s="106" t="s">
        <v>11</v>
      </c>
      <c r="C26" s="311">
        <v>263</v>
      </c>
      <c r="D26" s="312">
        <v>13825</v>
      </c>
      <c r="E26" s="213">
        <f t="shared" si="3"/>
        <v>1.9023508000000001E-2</v>
      </c>
      <c r="F26" s="203" t="s">
        <v>28</v>
      </c>
      <c r="G26" s="206">
        <f t="shared" ref="G26:G28" si="6">IFERROR(ROUND((E26/P26*100-100),9),0)</f>
        <v>-12.333333287</v>
      </c>
      <c r="H26" s="203" t="s">
        <v>28</v>
      </c>
      <c r="I26" s="210">
        <v>1</v>
      </c>
      <c r="J26" s="203">
        <v>1</v>
      </c>
      <c r="K26" s="203">
        <v>0</v>
      </c>
      <c r="L26" s="203">
        <v>1</v>
      </c>
      <c r="M26" s="209"/>
      <c r="N26" s="313">
        <v>300</v>
      </c>
      <c r="O26" s="314">
        <v>13825</v>
      </c>
      <c r="P26" s="206">
        <f t="shared" ref="P26:P27" si="7">IFERROR(ROUND(N26/O26,9),0)</f>
        <v>2.1699818999999999E-2</v>
      </c>
      <c r="Q26" s="210">
        <v>0</v>
      </c>
      <c r="R26" s="209"/>
      <c r="T26" s="182">
        <f t="shared" si="1"/>
        <v>1</v>
      </c>
      <c r="U26" s="182">
        <f t="shared" si="2"/>
        <v>1</v>
      </c>
    </row>
    <row r="27" spans="1:21" ht="189.75" customHeight="1" x14ac:dyDescent="0.25">
      <c r="A27" s="201">
        <v>13</v>
      </c>
      <c r="B27" s="106" t="s">
        <v>10</v>
      </c>
      <c r="C27" s="311">
        <v>602</v>
      </c>
      <c r="D27" s="312">
        <v>1051</v>
      </c>
      <c r="E27" s="213">
        <f t="shared" si="3"/>
        <v>0.57278782100000003</v>
      </c>
      <c r="F27" s="203" t="s">
        <v>28</v>
      </c>
      <c r="G27" s="206">
        <f t="shared" si="6"/>
        <v>0.306384029</v>
      </c>
      <c r="H27" s="203" t="s">
        <v>28</v>
      </c>
      <c r="I27" s="212">
        <v>0</v>
      </c>
      <c r="J27" s="203">
        <v>0</v>
      </c>
      <c r="K27" s="208">
        <v>0</v>
      </c>
      <c r="L27" s="203">
        <v>1</v>
      </c>
      <c r="M27" s="209"/>
      <c r="N27" s="311">
        <v>627</v>
      </c>
      <c r="O27" s="312">
        <v>1098</v>
      </c>
      <c r="P27" s="206">
        <f t="shared" si="7"/>
        <v>0.57103825100000005</v>
      </c>
      <c r="Q27" s="210">
        <v>1</v>
      </c>
      <c r="R27" s="209"/>
      <c r="T27" s="182">
        <f t="shared" si="1"/>
        <v>1</v>
      </c>
      <c r="U27" s="182" t="b">
        <f t="shared" si="2"/>
        <v>0</v>
      </c>
    </row>
    <row r="28" spans="1:21" ht="175.5" customHeight="1" x14ac:dyDescent="0.25">
      <c r="A28" s="201">
        <v>14</v>
      </c>
      <c r="B28" s="100" t="s">
        <v>9</v>
      </c>
      <c r="C28" s="311">
        <v>410</v>
      </c>
      <c r="D28" s="312">
        <v>1297</v>
      </c>
      <c r="E28" s="213">
        <f>IFERROR(ROUND(C28/D28,9),0)</f>
        <v>0.31611410899999998</v>
      </c>
      <c r="F28" s="203" t="s">
        <v>28</v>
      </c>
      <c r="G28" s="206">
        <f t="shared" si="6"/>
        <v>-0.37381756399999999</v>
      </c>
      <c r="H28" s="203" t="s">
        <v>28</v>
      </c>
      <c r="I28" s="212">
        <v>0</v>
      </c>
      <c r="J28" s="208">
        <v>0</v>
      </c>
      <c r="K28" s="208">
        <v>0</v>
      </c>
      <c r="L28" s="203">
        <v>1</v>
      </c>
      <c r="M28" s="209"/>
      <c r="N28" s="313">
        <v>409</v>
      </c>
      <c r="O28" s="314">
        <v>1289</v>
      </c>
      <c r="P28" s="206">
        <f>IFERROR(ROUND(N28/O28,9),0)</f>
        <v>0.31730023299999999</v>
      </c>
      <c r="Q28" s="210">
        <v>0.5</v>
      </c>
      <c r="R28" s="209"/>
      <c r="T28" s="182">
        <f t="shared" si="1"/>
        <v>1</v>
      </c>
      <c r="U28" s="182" t="b">
        <f t="shared" si="2"/>
        <v>0</v>
      </c>
    </row>
    <row r="29" spans="1:21" ht="15.75" customHeight="1" x14ac:dyDescent="0.25">
      <c r="A29" s="219"/>
      <c r="B29" s="108"/>
      <c r="C29" s="379" t="s">
        <v>57</v>
      </c>
      <c r="D29" s="379"/>
      <c r="E29" s="379"/>
      <c r="F29" s="379"/>
      <c r="G29" s="379"/>
      <c r="H29" s="379"/>
      <c r="I29" s="379"/>
      <c r="J29" s="379"/>
      <c r="K29" s="379"/>
      <c r="L29" s="379"/>
      <c r="M29" s="379"/>
      <c r="N29" s="379"/>
      <c r="O29" s="379"/>
      <c r="P29" s="379"/>
      <c r="Q29" s="379"/>
      <c r="R29" s="380"/>
      <c r="T29" s="182"/>
      <c r="U29" s="182"/>
    </row>
    <row r="30" spans="1:21" ht="44.25" customHeight="1" x14ac:dyDescent="0.25">
      <c r="A30" s="214">
        <v>15</v>
      </c>
      <c r="B30" s="101" t="s">
        <v>16</v>
      </c>
      <c r="C30" s="223">
        <v>5361</v>
      </c>
      <c r="D30" s="224">
        <v>5488</v>
      </c>
      <c r="E30" s="217">
        <f t="shared" ref="E30:E35" si="8">IFERROR(ROUND(C30/D30,9),0)</f>
        <v>0.97685860099999999</v>
      </c>
      <c r="F30" s="216">
        <v>0.95</v>
      </c>
      <c r="G30" s="216" t="s">
        <v>28</v>
      </c>
      <c r="H30" s="216">
        <f t="shared" ref="H30:H34" si="9">IFERROR(ROUND(E30/F30,9),0)</f>
        <v>1.0282722120000001</v>
      </c>
      <c r="I30" s="225">
        <v>1</v>
      </c>
      <c r="J30" s="216">
        <v>1</v>
      </c>
      <c r="K30" s="216"/>
      <c r="L30" s="216">
        <v>1</v>
      </c>
      <c r="M30" s="218"/>
      <c r="N30" s="216" t="s">
        <v>28</v>
      </c>
      <c r="O30" s="216" t="s">
        <v>28</v>
      </c>
      <c r="P30" s="216" t="s">
        <v>28</v>
      </c>
      <c r="Q30" s="225">
        <v>1</v>
      </c>
      <c r="R30" s="218"/>
      <c r="T30" s="182">
        <f>IF(L30&gt;0,1)</f>
        <v>1</v>
      </c>
      <c r="U30" s="182">
        <f>IF(I30&gt;0,1)</f>
        <v>1</v>
      </c>
    </row>
    <row r="31" spans="1:21" ht="159" customHeight="1" x14ac:dyDescent="0.25">
      <c r="A31" s="201">
        <v>16</v>
      </c>
      <c r="B31" s="100" t="s">
        <v>17</v>
      </c>
      <c r="C31" s="311">
        <v>38</v>
      </c>
      <c r="D31" s="312">
        <v>93</v>
      </c>
      <c r="E31" s="213">
        <f t="shared" si="8"/>
        <v>0.40860215100000002</v>
      </c>
      <c r="F31" s="203">
        <v>0.7</v>
      </c>
      <c r="G31" s="203" t="s">
        <v>28</v>
      </c>
      <c r="H31" s="206">
        <f t="shared" si="9"/>
        <v>0.58371735899999999</v>
      </c>
      <c r="I31" s="212">
        <v>0</v>
      </c>
      <c r="J31" s="203">
        <v>0</v>
      </c>
      <c r="K31" s="203">
        <v>0</v>
      </c>
      <c r="L31" s="203">
        <v>1</v>
      </c>
      <c r="M31" s="209"/>
      <c r="N31" s="203" t="s">
        <v>28</v>
      </c>
      <c r="O31" s="203" t="s">
        <v>28</v>
      </c>
      <c r="P31" s="203" t="s">
        <v>28</v>
      </c>
      <c r="Q31" s="212">
        <v>0</v>
      </c>
      <c r="R31" s="209"/>
      <c r="T31" s="182">
        <f t="shared" ref="T31:T32" si="10">IF(L31&gt;0,1)</f>
        <v>1</v>
      </c>
      <c r="U31" s="182" t="b">
        <f t="shared" ref="U31:U32" si="11">IF(I31&gt;0,1)</f>
        <v>0</v>
      </c>
    </row>
    <row r="32" spans="1:21" ht="148.5" customHeight="1" x14ac:dyDescent="0.25">
      <c r="A32" s="201">
        <v>17</v>
      </c>
      <c r="B32" s="100" t="s">
        <v>18</v>
      </c>
      <c r="C32" s="311">
        <v>16</v>
      </c>
      <c r="D32" s="312">
        <v>190</v>
      </c>
      <c r="E32" s="213">
        <f t="shared" si="8"/>
        <v>8.4210525999999994E-2</v>
      </c>
      <c r="F32" s="203">
        <v>0.7</v>
      </c>
      <c r="G32" s="203" t="s">
        <v>28</v>
      </c>
      <c r="H32" s="206">
        <f t="shared" si="9"/>
        <v>0.120300751</v>
      </c>
      <c r="I32" s="212">
        <v>0</v>
      </c>
      <c r="J32" s="203">
        <v>0</v>
      </c>
      <c r="K32" s="203">
        <v>0</v>
      </c>
      <c r="L32" s="203">
        <v>1</v>
      </c>
      <c r="M32" s="209"/>
      <c r="N32" s="203" t="s">
        <v>28</v>
      </c>
      <c r="O32" s="203" t="s">
        <v>28</v>
      </c>
      <c r="P32" s="203" t="s">
        <v>28</v>
      </c>
      <c r="Q32" s="212">
        <v>0</v>
      </c>
      <c r="R32" s="209"/>
      <c r="T32" s="182">
        <f t="shared" si="10"/>
        <v>1</v>
      </c>
      <c r="U32" s="182" t="b">
        <f t="shared" si="11"/>
        <v>0</v>
      </c>
    </row>
    <row r="33" spans="1:22" ht="121.5" customHeight="1" x14ac:dyDescent="0.25">
      <c r="A33" s="201">
        <v>18</v>
      </c>
      <c r="B33" s="100" t="s">
        <v>19</v>
      </c>
      <c r="C33" s="311">
        <v>114</v>
      </c>
      <c r="D33" s="312">
        <v>1111</v>
      </c>
      <c r="E33" s="213">
        <f t="shared" si="8"/>
        <v>0.10261026099999999</v>
      </c>
      <c r="F33" s="203">
        <v>0.7</v>
      </c>
      <c r="G33" s="203" t="s">
        <v>28</v>
      </c>
      <c r="H33" s="206">
        <f t="shared" si="9"/>
        <v>0.146586087</v>
      </c>
      <c r="I33" s="212">
        <v>0</v>
      </c>
      <c r="J33" s="203">
        <v>0</v>
      </c>
      <c r="K33" s="203">
        <v>0</v>
      </c>
      <c r="L33" s="203">
        <v>1</v>
      </c>
      <c r="M33" s="209"/>
      <c r="N33" s="203" t="s">
        <v>28</v>
      </c>
      <c r="O33" s="203" t="s">
        <v>28</v>
      </c>
      <c r="P33" s="203" t="s">
        <v>28</v>
      </c>
      <c r="Q33" s="212">
        <v>0</v>
      </c>
      <c r="R33" s="209"/>
      <c r="T33" s="182">
        <f>IF(L33&gt;0,1)</f>
        <v>1</v>
      </c>
      <c r="U33" s="182" t="b">
        <f>IF(I33&gt;0,1)</f>
        <v>0</v>
      </c>
    </row>
    <row r="34" spans="1:22" ht="121.5" customHeight="1" x14ac:dyDescent="0.25">
      <c r="A34" s="201">
        <v>19</v>
      </c>
      <c r="B34" s="100" t="s">
        <v>20</v>
      </c>
      <c r="C34" s="311">
        <v>10</v>
      </c>
      <c r="D34" s="312">
        <v>34</v>
      </c>
      <c r="E34" s="213">
        <f t="shared" si="8"/>
        <v>0.29411764699999998</v>
      </c>
      <c r="F34" s="203">
        <v>0.7</v>
      </c>
      <c r="G34" s="203" t="s">
        <v>28</v>
      </c>
      <c r="H34" s="206">
        <f t="shared" si="9"/>
        <v>0.42016806699999998</v>
      </c>
      <c r="I34" s="212">
        <v>0</v>
      </c>
      <c r="J34" s="203">
        <v>0</v>
      </c>
      <c r="K34" s="203">
        <v>0</v>
      </c>
      <c r="L34" s="203">
        <v>1</v>
      </c>
      <c r="M34" s="209"/>
      <c r="N34" s="203" t="s">
        <v>28</v>
      </c>
      <c r="O34" s="203" t="s">
        <v>28</v>
      </c>
      <c r="P34" s="203" t="s">
        <v>28</v>
      </c>
      <c r="Q34" s="212">
        <v>0</v>
      </c>
      <c r="R34" s="209"/>
      <c r="T34" s="182">
        <f t="shared" ref="T34" si="12">IF(L34&gt;0,1)</f>
        <v>1</v>
      </c>
      <c r="U34" s="182" t="b">
        <f t="shared" ref="U34:U35" si="13">IF(I34&gt;0,1)</f>
        <v>0</v>
      </c>
    </row>
    <row r="35" spans="1:22" ht="175.5" customHeight="1" x14ac:dyDescent="0.25">
      <c r="A35" s="201">
        <v>20</v>
      </c>
      <c r="B35" s="100" t="s">
        <v>21</v>
      </c>
      <c r="C35" s="311">
        <v>52</v>
      </c>
      <c r="D35" s="312">
        <v>122</v>
      </c>
      <c r="E35" s="213">
        <f t="shared" si="8"/>
        <v>0.42622950799999998</v>
      </c>
      <c r="F35" s="203">
        <v>0.7</v>
      </c>
      <c r="G35" s="203" t="s">
        <v>28</v>
      </c>
      <c r="H35" s="206">
        <f>IFERROR(ROUND(E35/F35,9),0)</f>
        <v>0.60889929700000001</v>
      </c>
      <c r="I35" s="212">
        <v>0</v>
      </c>
      <c r="J35" s="203">
        <v>0</v>
      </c>
      <c r="K35" s="203">
        <v>0</v>
      </c>
      <c r="L35" s="203">
        <v>1</v>
      </c>
      <c r="M35" s="209"/>
      <c r="N35" s="203" t="s">
        <v>28</v>
      </c>
      <c r="O35" s="203" t="s">
        <v>28</v>
      </c>
      <c r="P35" s="203" t="s">
        <v>28</v>
      </c>
      <c r="Q35" s="212">
        <v>0</v>
      </c>
      <c r="R35" s="209"/>
      <c r="T35" s="182">
        <f>IF(L35&gt;0,1)</f>
        <v>1</v>
      </c>
      <c r="U35" s="182" t="b">
        <f t="shared" si="13"/>
        <v>0</v>
      </c>
    </row>
    <row r="36" spans="1:22" ht="21" customHeight="1" x14ac:dyDescent="0.3">
      <c r="A36" s="219"/>
      <c r="B36" s="108"/>
      <c r="C36" s="379" t="s">
        <v>58</v>
      </c>
      <c r="D36" s="379"/>
      <c r="E36" s="379"/>
      <c r="F36" s="379"/>
      <c r="G36" s="379"/>
      <c r="H36" s="379"/>
      <c r="I36" s="379"/>
      <c r="J36" s="379"/>
      <c r="K36" s="379"/>
      <c r="L36" s="379"/>
      <c r="M36" s="379"/>
      <c r="N36" s="379"/>
      <c r="O36" s="379"/>
      <c r="P36" s="379"/>
      <c r="Q36" s="379"/>
      <c r="R36" s="380"/>
      <c r="T36" s="221">
        <f>SUM(T15:T35)</f>
        <v>20</v>
      </c>
      <c r="U36" s="221">
        <f>SUM(U15:U35)</f>
        <v>6</v>
      </c>
      <c r="V36" s="222">
        <f>U36/T36</f>
        <v>0.3</v>
      </c>
    </row>
    <row r="37" spans="1:22" ht="69.75" customHeight="1" x14ac:dyDescent="0.25">
      <c r="A37" s="214">
        <v>21</v>
      </c>
      <c r="B37" s="107" t="s">
        <v>22</v>
      </c>
      <c r="C37" s="223">
        <v>20</v>
      </c>
      <c r="D37" s="224">
        <v>61</v>
      </c>
      <c r="E37" s="215">
        <f t="shared" ref="E37:E41" si="14">IFERROR(ROUND(C37/D37,9),0)</f>
        <v>0.32786885199999999</v>
      </c>
      <c r="F37" s="216" t="s">
        <v>28</v>
      </c>
      <c r="G37" s="217">
        <f t="shared" ref="G37:G40" si="15">IFERROR(ROUND((E37/P37*100-100),9),0)</f>
        <v>54.566744602999997</v>
      </c>
      <c r="H37" s="216" t="s">
        <v>28</v>
      </c>
      <c r="I37" s="225">
        <v>1</v>
      </c>
      <c r="J37" s="216">
        <v>1</v>
      </c>
      <c r="K37" s="216">
        <v>0</v>
      </c>
      <c r="L37" s="216">
        <v>1</v>
      </c>
      <c r="M37" s="218"/>
      <c r="N37" s="223">
        <v>7</v>
      </c>
      <c r="O37" s="224">
        <v>33</v>
      </c>
      <c r="P37" s="217">
        <f>IFERROR(ROUND(N37/O37,9),0)</f>
        <v>0.212121212</v>
      </c>
      <c r="Q37" s="225">
        <v>0</v>
      </c>
      <c r="R37" s="218"/>
      <c r="T37" s="182">
        <f t="shared" ref="T37" si="16">IF(L37&gt;0,1)</f>
        <v>1</v>
      </c>
      <c r="U37" s="182">
        <f t="shared" ref="U37" si="17">IF(I37&gt;0,1)</f>
        <v>1</v>
      </c>
    </row>
    <row r="38" spans="1:22" ht="97.5" customHeight="1" x14ac:dyDescent="0.25">
      <c r="A38" s="214">
        <v>22</v>
      </c>
      <c r="B38" s="107" t="s">
        <v>23</v>
      </c>
      <c r="C38" s="223">
        <v>0</v>
      </c>
      <c r="D38" s="224">
        <v>91</v>
      </c>
      <c r="E38" s="215">
        <f t="shared" si="14"/>
        <v>0</v>
      </c>
      <c r="F38" s="216">
        <v>0.1</v>
      </c>
      <c r="G38" s="216" t="s">
        <v>28</v>
      </c>
      <c r="H38" s="217">
        <f t="shared" ref="H38" si="18">IFERROR(ROUND(E38/F38,9),0)</f>
        <v>0</v>
      </c>
      <c r="I38" s="225">
        <v>0</v>
      </c>
      <c r="J38" s="216" t="s">
        <v>28</v>
      </c>
      <c r="K38" s="216">
        <v>0</v>
      </c>
      <c r="L38" s="216">
        <v>1</v>
      </c>
      <c r="M38" s="218"/>
      <c r="N38" s="216" t="s">
        <v>28</v>
      </c>
      <c r="O38" s="216" t="s">
        <v>28</v>
      </c>
      <c r="P38" s="216" t="s">
        <v>28</v>
      </c>
      <c r="Q38" s="225">
        <v>0</v>
      </c>
      <c r="R38" s="218"/>
      <c r="T38" s="182">
        <f t="shared" ref="T38:T41" si="19">IF(L38&gt;0,1)</f>
        <v>1</v>
      </c>
      <c r="U38" s="182" t="b">
        <f>IF(I38&gt;0,1)</f>
        <v>0</v>
      </c>
    </row>
    <row r="39" spans="1:22" ht="122.25" customHeight="1" x14ac:dyDescent="0.25">
      <c r="A39" s="201">
        <v>23</v>
      </c>
      <c r="B39" s="106" t="s">
        <v>24</v>
      </c>
      <c r="C39" s="202">
        <v>0</v>
      </c>
      <c r="D39" s="203">
        <v>4</v>
      </c>
      <c r="E39" s="213">
        <f>IFERROR(ROUND(C39/D39,9),0)</f>
        <v>0</v>
      </c>
      <c r="F39" s="203" t="s">
        <v>28</v>
      </c>
      <c r="G39" s="206">
        <f t="shared" si="15"/>
        <v>0</v>
      </c>
      <c r="H39" s="203" t="s">
        <v>28</v>
      </c>
      <c r="I39" s="210">
        <v>0</v>
      </c>
      <c r="J39" s="203">
        <v>0</v>
      </c>
      <c r="K39" s="203">
        <v>0</v>
      </c>
      <c r="L39" s="208">
        <v>1</v>
      </c>
      <c r="M39" s="209"/>
      <c r="N39" s="202">
        <v>0</v>
      </c>
      <c r="O39" s="203">
        <v>6</v>
      </c>
      <c r="P39" s="206">
        <f>IFERROR(ROUND(N39/O39,9),0)</f>
        <v>0</v>
      </c>
      <c r="Q39" s="210">
        <v>0</v>
      </c>
      <c r="R39" s="209"/>
      <c r="T39" s="182">
        <f t="shared" si="19"/>
        <v>1</v>
      </c>
      <c r="U39" s="182" t="b">
        <f t="shared" ref="U39:U41" si="20">IF(I39&gt;0,1)</f>
        <v>0</v>
      </c>
    </row>
    <row r="40" spans="1:22" ht="134.25" customHeight="1" x14ac:dyDescent="0.25">
      <c r="A40" s="201">
        <v>24</v>
      </c>
      <c r="B40" s="106" t="s">
        <v>25</v>
      </c>
      <c r="C40" s="202">
        <v>0</v>
      </c>
      <c r="D40" s="203">
        <v>16</v>
      </c>
      <c r="E40" s="213">
        <f t="shared" si="14"/>
        <v>0</v>
      </c>
      <c r="F40" s="203" t="s">
        <v>28</v>
      </c>
      <c r="G40" s="206">
        <f t="shared" si="15"/>
        <v>0</v>
      </c>
      <c r="H40" s="203" t="s">
        <v>28</v>
      </c>
      <c r="I40" s="210">
        <v>0</v>
      </c>
      <c r="J40" s="203">
        <v>0</v>
      </c>
      <c r="K40" s="203">
        <v>0</v>
      </c>
      <c r="L40" s="208">
        <v>1</v>
      </c>
      <c r="M40" s="209"/>
      <c r="N40" s="202">
        <v>0</v>
      </c>
      <c r="O40" s="203">
        <v>8</v>
      </c>
      <c r="P40" s="206">
        <f>IFERROR(ROUND(N40/O40,9),0)</f>
        <v>0</v>
      </c>
      <c r="Q40" s="210">
        <v>0</v>
      </c>
      <c r="R40" s="209"/>
      <c r="T40" s="182">
        <f t="shared" si="19"/>
        <v>1</v>
      </c>
      <c r="U40" s="182" t="b">
        <f>IF(I40&gt;0,1)</f>
        <v>0</v>
      </c>
    </row>
    <row r="41" spans="1:22" ht="110.25" customHeight="1" x14ac:dyDescent="0.25">
      <c r="A41" s="214">
        <v>25</v>
      </c>
      <c r="B41" s="107" t="s">
        <v>26</v>
      </c>
      <c r="C41" s="223">
        <v>174</v>
      </c>
      <c r="D41" s="224">
        <v>201</v>
      </c>
      <c r="E41" s="215">
        <f t="shared" si="14"/>
        <v>0.86567164200000002</v>
      </c>
      <c r="F41" s="216">
        <v>0.89</v>
      </c>
      <c r="G41" s="216" t="s">
        <v>28</v>
      </c>
      <c r="H41" s="217">
        <f t="shared" ref="H41" si="21">IFERROR(ROUND(E41/F41,9),0)</f>
        <v>0.97266476599999996</v>
      </c>
      <c r="I41" s="225">
        <v>0</v>
      </c>
      <c r="J41" s="216" t="s">
        <v>28</v>
      </c>
      <c r="K41" s="216">
        <v>0</v>
      </c>
      <c r="L41" s="216">
        <v>1</v>
      </c>
      <c r="M41" s="218"/>
      <c r="N41" s="216" t="s">
        <v>28</v>
      </c>
      <c r="O41" s="216" t="s">
        <v>28</v>
      </c>
      <c r="P41" s="216" t="s">
        <v>28</v>
      </c>
      <c r="Q41" s="225">
        <v>2</v>
      </c>
      <c r="R41" s="218"/>
      <c r="T41" s="182">
        <f t="shared" si="19"/>
        <v>1</v>
      </c>
      <c r="U41" s="182" t="b">
        <f t="shared" si="20"/>
        <v>0</v>
      </c>
    </row>
    <row r="42" spans="1:22" ht="21" customHeight="1" x14ac:dyDescent="0.3">
      <c r="A42" s="226"/>
      <c r="B42" s="109"/>
      <c r="C42" s="379" t="s">
        <v>59</v>
      </c>
      <c r="D42" s="379"/>
      <c r="E42" s="379"/>
      <c r="F42" s="379"/>
      <c r="G42" s="379"/>
      <c r="H42" s="379"/>
      <c r="I42" s="379"/>
      <c r="J42" s="379"/>
      <c r="K42" s="379"/>
      <c r="L42" s="379"/>
      <c r="M42" s="379"/>
      <c r="N42" s="379"/>
      <c r="O42" s="379"/>
      <c r="P42" s="379"/>
      <c r="Q42" s="379"/>
      <c r="R42" s="380"/>
      <c r="T42" s="221">
        <f>SUM(T37:T41)</f>
        <v>5</v>
      </c>
      <c r="U42" s="221">
        <f>SUM(U37:U41)</f>
        <v>1</v>
      </c>
      <c r="V42" s="222">
        <f>U42/T42</f>
        <v>0.2</v>
      </c>
    </row>
    <row r="43" spans="1:22" ht="38.25" x14ac:dyDescent="0.25">
      <c r="A43" s="192">
        <v>26</v>
      </c>
      <c r="B43" s="105" t="s">
        <v>40</v>
      </c>
      <c r="C43" s="227">
        <f>8780+84751.87</f>
        <v>93531.87</v>
      </c>
      <c r="D43" s="228">
        <f>14161+ROUND((9621+2386+7937*2.9)*4.2/12*11,0)</f>
        <v>149005</v>
      </c>
      <c r="E43" s="229">
        <f>IFERROR(ROUND(C43/D43,9),0)</f>
        <v>0.627709607</v>
      </c>
      <c r="F43" s="230">
        <v>1</v>
      </c>
      <c r="G43" s="230" t="s">
        <v>28</v>
      </c>
      <c r="H43" s="231">
        <f t="shared" ref="H43" si="22">IFERROR(ROUND(E43/F43,9),0)</f>
        <v>0.627709607</v>
      </c>
      <c r="I43" s="232">
        <v>0</v>
      </c>
      <c r="J43" s="230">
        <v>0</v>
      </c>
      <c r="K43" s="230">
        <v>0</v>
      </c>
      <c r="L43" s="230">
        <v>1</v>
      </c>
      <c r="M43" s="233"/>
      <c r="N43" s="234" t="s">
        <v>28</v>
      </c>
      <c r="O43" s="230" t="s">
        <v>28</v>
      </c>
      <c r="P43" s="231" t="s">
        <v>28</v>
      </c>
      <c r="Q43" s="232">
        <v>0</v>
      </c>
      <c r="R43" s="233"/>
    </row>
    <row r="44" spans="1:22" ht="15.75" x14ac:dyDescent="0.25">
      <c r="A44" s="201"/>
      <c r="B44" s="106"/>
      <c r="C44" s="235"/>
      <c r="D44" s="201"/>
      <c r="E44" s="201"/>
      <c r="F44" s="203"/>
      <c r="G44" s="203"/>
      <c r="H44" s="203"/>
      <c r="I44" s="220"/>
      <c r="J44" s="203"/>
      <c r="K44" s="203"/>
      <c r="L44" s="203"/>
      <c r="M44" s="209"/>
      <c r="N44" s="202"/>
      <c r="O44" s="203"/>
      <c r="P44" s="203"/>
      <c r="Q44" s="210"/>
      <c r="R44" s="209"/>
    </row>
    <row r="45" spans="1:22" ht="15.75" x14ac:dyDescent="0.25">
      <c r="A45" s="201"/>
      <c r="B45" s="110"/>
      <c r="C45" s="235"/>
      <c r="D45" s="201"/>
      <c r="E45" s="201"/>
      <c r="F45" s="203"/>
      <c r="G45" s="203"/>
      <c r="H45" s="203"/>
      <c r="I45" s="220"/>
      <c r="J45" s="203"/>
      <c r="K45" s="203"/>
      <c r="L45" s="203"/>
      <c r="M45" s="209"/>
      <c r="N45" s="202"/>
      <c r="O45" s="203"/>
      <c r="P45" s="203"/>
      <c r="Q45" s="210"/>
      <c r="R45" s="209"/>
    </row>
    <row r="46" spans="1:22" ht="15.75" x14ac:dyDescent="0.25">
      <c r="A46" s="201"/>
      <c r="B46" s="110"/>
      <c r="C46" s="235"/>
      <c r="D46" s="201"/>
      <c r="E46" s="201"/>
      <c r="F46" s="203"/>
      <c r="G46" s="203"/>
      <c r="H46" s="203"/>
      <c r="I46" s="220"/>
      <c r="J46" s="203"/>
      <c r="K46" s="203"/>
      <c r="L46" s="203"/>
      <c r="M46" s="209"/>
      <c r="N46" s="202"/>
      <c r="O46" s="203"/>
      <c r="P46" s="203"/>
      <c r="Q46" s="210"/>
      <c r="R46" s="209"/>
    </row>
    <row r="47" spans="1:22" ht="15.75" x14ac:dyDescent="0.25">
      <c r="A47" s="201"/>
      <c r="B47" s="110"/>
      <c r="C47" s="235"/>
      <c r="D47" s="201"/>
      <c r="E47" s="201"/>
      <c r="F47" s="203"/>
      <c r="G47" s="203"/>
      <c r="H47" s="203"/>
      <c r="I47" s="220"/>
      <c r="J47" s="203"/>
      <c r="K47" s="203"/>
      <c r="L47" s="203"/>
      <c r="M47" s="209"/>
      <c r="N47" s="202"/>
      <c r="O47" s="203"/>
      <c r="P47" s="203"/>
      <c r="Q47" s="210"/>
      <c r="R47" s="209"/>
    </row>
    <row r="48" spans="1:22" ht="15.75" x14ac:dyDescent="0.25">
      <c r="A48" s="201"/>
      <c r="B48" s="110"/>
      <c r="C48" s="235"/>
      <c r="D48" s="201"/>
      <c r="E48" s="201"/>
      <c r="F48" s="203"/>
      <c r="G48" s="203"/>
      <c r="H48" s="203"/>
      <c r="I48" s="220"/>
      <c r="J48" s="203"/>
      <c r="K48" s="203"/>
      <c r="L48" s="203"/>
      <c r="M48" s="209"/>
      <c r="N48" s="202"/>
      <c r="O48" s="203"/>
      <c r="P48" s="203"/>
      <c r="Q48" s="210"/>
      <c r="R48" s="209"/>
    </row>
    <row r="49" spans="1:18" ht="15.75" x14ac:dyDescent="0.25">
      <c r="A49" s="201"/>
      <c r="B49" s="110"/>
      <c r="C49" s="235"/>
      <c r="D49" s="201"/>
      <c r="E49" s="201"/>
      <c r="F49" s="203"/>
      <c r="G49" s="203"/>
      <c r="H49" s="203"/>
      <c r="I49" s="220"/>
      <c r="J49" s="203"/>
      <c r="K49" s="203"/>
      <c r="L49" s="203"/>
      <c r="M49" s="209"/>
      <c r="N49" s="202"/>
      <c r="O49" s="203"/>
      <c r="P49" s="203"/>
      <c r="Q49" s="210"/>
      <c r="R49" s="209"/>
    </row>
    <row r="50" spans="1:18" ht="15.75" x14ac:dyDescent="0.25">
      <c r="A50" s="201"/>
      <c r="B50" s="110"/>
      <c r="C50" s="235"/>
      <c r="D50" s="201"/>
      <c r="E50" s="201"/>
      <c r="F50" s="203"/>
      <c r="G50" s="203"/>
      <c r="H50" s="203"/>
      <c r="I50" s="220"/>
      <c r="J50" s="203"/>
      <c r="K50" s="203"/>
      <c r="L50" s="203"/>
      <c r="M50" s="209"/>
      <c r="N50" s="202"/>
      <c r="O50" s="203"/>
      <c r="P50" s="203"/>
      <c r="Q50" s="210"/>
      <c r="R50" s="209"/>
    </row>
    <row r="51" spans="1:18" ht="15.75" x14ac:dyDescent="0.25">
      <c r="A51" s="201"/>
      <c r="B51" s="110"/>
      <c r="C51" s="235"/>
      <c r="D51" s="201"/>
      <c r="E51" s="201"/>
      <c r="F51" s="203"/>
      <c r="G51" s="203"/>
      <c r="H51" s="203"/>
      <c r="I51" s="220"/>
      <c r="J51" s="203"/>
      <c r="K51" s="203"/>
      <c r="L51" s="203"/>
      <c r="M51" s="209"/>
      <c r="N51" s="202"/>
      <c r="O51" s="203"/>
      <c r="P51" s="203"/>
      <c r="Q51" s="210"/>
      <c r="R51" s="209"/>
    </row>
    <row r="52" spans="1:18" ht="15.75" x14ac:dyDescent="0.25">
      <c r="A52" s="201"/>
      <c r="B52" s="110"/>
      <c r="C52" s="235"/>
      <c r="D52" s="201"/>
      <c r="E52" s="201"/>
      <c r="F52" s="203"/>
      <c r="G52" s="203"/>
      <c r="H52" s="203"/>
      <c r="I52" s="220"/>
      <c r="J52" s="203"/>
      <c r="K52" s="203"/>
      <c r="L52" s="203"/>
      <c r="M52" s="209"/>
      <c r="N52" s="202"/>
      <c r="O52" s="203"/>
      <c r="P52" s="203"/>
      <c r="Q52" s="210"/>
      <c r="R52" s="209"/>
    </row>
    <row r="53" spans="1:18" ht="51.75" customHeight="1" x14ac:dyDescent="0.25">
      <c r="A53" s="373"/>
      <c r="B53" s="373"/>
      <c r="C53" s="373"/>
      <c r="D53" s="373"/>
      <c r="E53" s="373"/>
      <c r="F53" s="373"/>
      <c r="G53" s="373"/>
      <c r="H53" s="373"/>
      <c r="I53" s="373"/>
      <c r="J53" s="373"/>
      <c r="K53" s="373"/>
      <c r="L53" s="373"/>
      <c r="M53" s="373"/>
      <c r="N53" s="373"/>
      <c r="O53" s="373"/>
      <c r="P53" s="373"/>
      <c r="Q53" s="373"/>
      <c r="R53" s="373"/>
    </row>
    <row r="54" spans="1:18" ht="19.5" customHeight="1" x14ac:dyDescent="0.25">
      <c r="A54" s="373"/>
      <c r="B54" s="373"/>
      <c r="C54" s="373"/>
      <c r="D54" s="373"/>
      <c r="E54" s="373"/>
      <c r="F54" s="373"/>
      <c r="G54" s="373"/>
      <c r="H54" s="373"/>
      <c r="I54" s="373"/>
      <c r="J54" s="373"/>
      <c r="K54" s="373"/>
      <c r="L54" s="373"/>
      <c r="M54" s="373"/>
      <c r="N54" s="373"/>
      <c r="O54" s="373"/>
      <c r="P54" s="373"/>
      <c r="Q54" s="236"/>
      <c r="R54" s="184"/>
    </row>
    <row r="55" spans="1:18" ht="15.75" x14ac:dyDescent="0.25">
      <c r="A55" s="183"/>
      <c r="B55" s="237"/>
      <c r="C55" s="320"/>
      <c r="D55" s="320"/>
      <c r="E55" s="320"/>
      <c r="F55" s="320"/>
      <c r="G55" s="320"/>
      <c r="H55" s="320"/>
      <c r="I55" s="320"/>
      <c r="J55" s="320"/>
      <c r="K55" s="320"/>
      <c r="L55" s="320"/>
      <c r="M55" s="320"/>
      <c r="N55" s="320"/>
      <c r="O55" s="320"/>
      <c r="P55" s="320"/>
      <c r="Q55" s="320"/>
      <c r="R55" s="320"/>
    </row>
    <row r="56" spans="1:18" s="149" customFormat="1" x14ac:dyDescent="0.25">
      <c r="A56" s="240"/>
      <c r="B56" s="102"/>
      <c r="C56" s="321"/>
      <c r="D56" s="322"/>
      <c r="E56" s="322"/>
      <c r="F56" s="322"/>
      <c r="G56" s="322"/>
      <c r="H56" s="322"/>
      <c r="I56" s="323"/>
      <c r="J56" s="322"/>
      <c r="K56" s="322"/>
      <c r="L56" s="322"/>
      <c r="M56" s="322"/>
      <c r="N56" s="322"/>
      <c r="O56" s="322"/>
      <c r="P56" s="322"/>
      <c r="Q56" s="323"/>
      <c r="R56" s="322"/>
    </row>
    <row r="57" spans="1:18" s="149" customFormat="1" x14ac:dyDescent="0.25">
      <c r="A57" s="240"/>
      <c r="B57" s="102"/>
      <c r="C57" s="471">
        <f>SUM(C15:C52)</f>
        <v>125954.87</v>
      </c>
      <c r="D57" s="471">
        <f t="shared" ref="D57:R57" si="23">SUM(D15:D52)</f>
        <v>344753</v>
      </c>
      <c r="E57" s="471">
        <f t="shared" si="23"/>
        <v>9.2687281819999985</v>
      </c>
      <c r="F57" s="471">
        <f t="shared" si="23"/>
        <v>9.7900000000000009</v>
      </c>
      <c r="G57" s="471">
        <f t="shared" si="23"/>
        <v>-51.099668900999994</v>
      </c>
      <c r="H57" s="471">
        <f t="shared" si="23"/>
        <v>6.913851427</v>
      </c>
      <c r="I57" s="471">
        <f t="shared" si="23"/>
        <v>8.5</v>
      </c>
      <c r="J57" s="471">
        <f t="shared" si="23"/>
        <v>4</v>
      </c>
      <c r="K57" s="471">
        <f t="shared" si="23"/>
        <v>2</v>
      </c>
      <c r="L57" s="471">
        <f t="shared" si="23"/>
        <v>26</v>
      </c>
      <c r="M57" s="471">
        <f t="shared" si="23"/>
        <v>0</v>
      </c>
      <c r="N57" s="471">
        <f t="shared" si="23"/>
        <v>19194</v>
      </c>
      <c r="O57" s="471">
        <f t="shared" si="23"/>
        <v>196786</v>
      </c>
      <c r="P57" s="471">
        <f t="shared" si="23"/>
        <v>3.4886529540000004</v>
      </c>
      <c r="Q57" s="471">
        <f t="shared" si="23"/>
        <v>14</v>
      </c>
      <c r="R57" s="471">
        <f t="shared" si="23"/>
        <v>0</v>
      </c>
    </row>
    <row r="58" spans="1:18" s="149" customFormat="1" x14ac:dyDescent="0.25">
      <c r="A58" s="240"/>
      <c r="B58" s="102"/>
      <c r="C58" s="321"/>
      <c r="D58" s="321"/>
      <c r="E58" s="321"/>
      <c r="F58" s="321"/>
      <c r="G58" s="321"/>
      <c r="H58" s="321"/>
      <c r="I58" s="321"/>
      <c r="J58" s="321"/>
      <c r="K58" s="321"/>
      <c r="L58" s="321"/>
      <c r="M58" s="321"/>
      <c r="N58" s="321"/>
      <c r="O58" s="321"/>
      <c r="P58" s="321"/>
      <c r="Q58" s="321"/>
      <c r="R58" s="321"/>
    </row>
    <row r="59" spans="1:18" s="149" customFormat="1" x14ac:dyDescent="0.25">
      <c r="A59" s="240"/>
      <c r="B59" s="102"/>
      <c r="C59" s="473">
        <v>125954.87</v>
      </c>
      <c r="D59" s="473">
        <v>344753</v>
      </c>
      <c r="E59" s="473">
        <v>9.2687281819999985</v>
      </c>
      <c r="F59" s="473">
        <v>9.7900000000000009</v>
      </c>
      <c r="G59" s="473">
        <v>-51.099668900999994</v>
      </c>
      <c r="H59" s="473">
        <v>6.913851427</v>
      </c>
      <c r="I59" s="473">
        <v>8.5</v>
      </c>
      <c r="J59" s="473">
        <v>4</v>
      </c>
      <c r="K59" s="473">
        <v>2</v>
      </c>
      <c r="L59" s="473">
        <v>26</v>
      </c>
      <c r="M59" s="473">
        <v>0</v>
      </c>
      <c r="N59" s="473">
        <v>19194</v>
      </c>
      <c r="O59" s="473">
        <v>196786</v>
      </c>
      <c r="P59" s="473">
        <v>3.4886529540000004</v>
      </c>
      <c r="Q59" s="473">
        <v>14</v>
      </c>
      <c r="R59" s="473">
        <v>0</v>
      </c>
    </row>
    <row r="60" spans="1:18" s="149" customFormat="1" x14ac:dyDescent="0.25">
      <c r="A60" s="240"/>
      <c r="B60" s="102"/>
      <c r="C60" s="472">
        <f>C59-C57</f>
        <v>0</v>
      </c>
      <c r="D60" s="472">
        <f t="shared" ref="D60:R60" si="24">D59-D57</f>
        <v>0</v>
      </c>
      <c r="E60" s="472">
        <f t="shared" si="24"/>
        <v>0</v>
      </c>
      <c r="F60" s="472">
        <f t="shared" si="24"/>
        <v>0</v>
      </c>
      <c r="G60" s="472">
        <f t="shared" si="24"/>
        <v>0</v>
      </c>
      <c r="H60" s="472">
        <f t="shared" si="24"/>
        <v>0</v>
      </c>
      <c r="I60" s="472">
        <f t="shared" si="24"/>
        <v>0</v>
      </c>
      <c r="J60" s="472">
        <f t="shared" si="24"/>
        <v>0</v>
      </c>
      <c r="K60" s="472">
        <f t="shared" si="24"/>
        <v>0</v>
      </c>
      <c r="L60" s="472">
        <f t="shared" si="24"/>
        <v>0</v>
      </c>
      <c r="M60" s="472">
        <f t="shared" si="24"/>
        <v>0</v>
      </c>
      <c r="N60" s="472">
        <f t="shared" si="24"/>
        <v>0</v>
      </c>
      <c r="O60" s="472">
        <f t="shared" si="24"/>
        <v>0</v>
      </c>
      <c r="P60" s="472">
        <f t="shared" si="24"/>
        <v>0</v>
      </c>
      <c r="Q60" s="472">
        <f t="shared" si="24"/>
        <v>0</v>
      </c>
      <c r="R60" s="472">
        <f t="shared" si="24"/>
        <v>0</v>
      </c>
    </row>
    <row r="61" spans="1:18" ht="18.75" x14ac:dyDescent="0.3">
      <c r="I61" s="238"/>
      <c r="J61" s="238"/>
      <c r="K61" s="238"/>
      <c r="L61" s="239"/>
    </row>
    <row r="62" spans="1:18" ht="18.75" x14ac:dyDescent="0.3">
      <c r="I62" s="238"/>
      <c r="J62" s="238"/>
      <c r="K62" s="238"/>
      <c r="L62" s="238"/>
    </row>
  </sheetData>
  <autoFilter ref="A13:R55"/>
  <mergeCells count="28">
    <mergeCell ref="A6:R6"/>
    <mergeCell ref="A7:A12"/>
    <mergeCell ref="B7:B12"/>
    <mergeCell ref="C7:M7"/>
    <mergeCell ref="N7:R7"/>
    <mergeCell ref="C8:C10"/>
    <mergeCell ref="D8:D10"/>
    <mergeCell ref="E8:E10"/>
    <mergeCell ref="F8:F10"/>
    <mergeCell ref="G8:G10"/>
    <mergeCell ref="R8:R10"/>
    <mergeCell ref="C11:R11"/>
    <mergeCell ref="H8:H10"/>
    <mergeCell ref="I8:I10"/>
    <mergeCell ref="J8:J10"/>
    <mergeCell ref="K8:K10"/>
    <mergeCell ref="A54:P54"/>
    <mergeCell ref="N8:N10"/>
    <mergeCell ref="O8:O10"/>
    <mergeCell ref="P8:P10"/>
    <mergeCell ref="A53:R53"/>
    <mergeCell ref="Q8:Q10"/>
    <mergeCell ref="C14:R14"/>
    <mergeCell ref="C29:R29"/>
    <mergeCell ref="C36:R36"/>
    <mergeCell ref="C42:R42"/>
    <mergeCell ref="L8:L10"/>
    <mergeCell ref="M8:M10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62"/>
  <sheetViews>
    <sheetView view="pageBreakPreview" topLeftCell="A41" zoomScale="60" zoomScaleNormal="80" workbookViewId="0">
      <selection activeCell="A56" sqref="A56:XFD60"/>
    </sheetView>
  </sheetViews>
  <sheetFormatPr defaultRowHeight="15" x14ac:dyDescent="0.25"/>
  <cols>
    <col min="1" max="1" width="9.42578125" style="240" customWidth="1"/>
    <col min="2" max="2" width="28.42578125" style="102" customWidth="1"/>
    <col min="3" max="3" width="16" style="241" customWidth="1"/>
    <col min="4" max="4" width="16.7109375" style="149" customWidth="1"/>
    <col min="5" max="5" width="24.28515625" style="149" customWidth="1"/>
    <col min="6" max="8" width="19.85546875" style="149" customWidth="1"/>
    <col min="9" max="9" width="19.85546875" style="242" customWidth="1"/>
    <col min="10" max="11" width="19.85546875" style="149" customWidth="1"/>
    <col min="12" max="12" width="18" style="149" customWidth="1"/>
    <col min="13" max="13" width="13.7109375" style="149" customWidth="1"/>
    <col min="14" max="14" width="16" style="149" customWidth="1"/>
    <col min="15" max="15" width="16.7109375" style="149" customWidth="1"/>
    <col min="16" max="16" width="24.28515625" style="149" customWidth="1"/>
    <col min="17" max="17" width="19.85546875" style="242" customWidth="1"/>
    <col min="18" max="18" width="13.140625" style="149" customWidth="1"/>
    <col min="19" max="21" width="9.140625" style="149"/>
    <col min="22" max="22" width="11.42578125" style="149" customWidth="1"/>
    <col min="23" max="16384" width="9.140625" style="149"/>
  </cols>
  <sheetData>
    <row r="1" spans="1:22" ht="16.5" x14ac:dyDescent="0.25">
      <c r="R1" s="88" t="s">
        <v>79</v>
      </c>
    </row>
    <row r="2" spans="1:22" ht="16.5" x14ac:dyDescent="0.25">
      <c r="R2" s="98" t="s">
        <v>78</v>
      </c>
    </row>
    <row r="3" spans="1:22" ht="16.5" x14ac:dyDescent="0.25">
      <c r="R3" s="98" t="str">
        <f>МОБ!$R$3</f>
        <v>№ 17-03 от 19.12.2024</v>
      </c>
    </row>
    <row r="5" spans="1:22" ht="15.75" x14ac:dyDescent="0.25">
      <c r="R5" s="99" t="s">
        <v>81</v>
      </c>
    </row>
    <row r="6" spans="1:22" ht="25.5" customHeight="1" thickBot="1" x14ac:dyDescent="0.3">
      <c r="A6" s="403" t="str">
        <f>СВОД!A1</f>
        <v xml:space="preserve">Мониторинг достижения значений показателей результативности деятельности за декабрь 2023 – ноябрь 2024 года </v>
      </c>
      <c r="B6" s="403"/>
      <c r="C6" s="403"/>
      <c r="D6" s="403"/>
      <c r="E6" s="403"/>
      <c r="F6" s="403"/>
      <c r="G6" s="403"/>
      <c r="H6" s="403"/>
      <c r="I6" s="403"/>
      <c r="J6" s="403"/>
      <c r="K6" s="403"/>
      <c r="L6" s="403"/>
      <c r="M6" s="403"/>
      <c r="N6" s="403"/>
      <c r="O6" s="403"/>
      <c r="P6" s="403"/>
      <c r="Q6" s="403"/>
      <c r="R6" s="403"/>
    </row>
    <row r="7" spans="1:22" s="243" customFormat="1" ht="21.75" customHeight="1" x14ac:dyDescent="0.25">
      <c r="A7" s="404" t="s">
        <v>55</v>
      </c>
      <c r="B7" s="407" t="s">
        <v>54</v>
      </c>
      <c r="C7" s="410" t="s">
        <v>52</v>
      </c>
      <c r="D7" s="410"/>
      <c r="E7" s="410"/>
      <c r="F7" s="410"/>
      <c r="G7" s="410"/>
      <c r="H7" s="410"/>
      <c r="I7" s="410"/>
      <c r="J7" s="410"/>
      <c r="K7" s="410"/>
      <c r="L7" s="410"/>
      <c r="M7" s="411"/>
      <c r="N7" s="412" t="s">
        <v>1</v>
      </c>
      <c r="O7" s="410"/>
      <c r="P7" s="410"/>
      <c r="Q7" s="410"/>
      <c r="R7" s="411"/>
    </row>
    <row r="8" spans="1:22" s="244" customFormat="1" ht="12" customHeight="1" x14ac:dyDescent="0.2">
      <c r="A8" s="405"/>
      <c r="B8" s="408"/>
      <c r="C8" s="413" t="s">
        <v>168</v>
      </c>
      <c r="D8" s="398" t="s">
        <v>169</v>
      </c>
      <c r="E8" s="398" t="s">
        <v>170</v>
      </c>
      <c r="F8" s="398" t="s">
        <v>171</v>
      </c>
      <c r="G8" s="398" t="s">
        <v>42</v>
      </c>
      <c r="H8" s="398" t="s">
        <v>43</v>
      </c>
      <c r="I8" s="399" t="s">
        <v>31</v>
      </c>
      <c r="J8" s="398" t="s">
        <v>29</v>
      </c>
      <c r="K8" s="398" t="s">
        <v>30</v>
      </c>
      <c r="L8" s="398" t="s">
        <v>32</v>
      </c>
      <c r="M8" s="402" t="s">
        <v>0</v>
      </c>
      <c r="N8" s="397" t="s">
        <v>168</v>
      </c>
      <c r="O8" s="398" t="s">
        <v>169</v>
      </c>
      <c r="P8" s="398" t="s">
        <v>170</v>
      </c>
      <c r="Q8" s="399" t="s">
        <v>31</v>
      </c>
      <c r="R8" s="402" t="s">
        <v>0</v>
      </c>
    </row>
    <row r="9" spans="1:22" s="244" customFormat="1" ht="12" customHeight="1" x14ac:dyDescent="0.2">
      <c r="A9" s="405"/>
      <c r="B9" s="408"/>
      <c r="C9" s="413"/>
      <c r="D9" s="398"/>
      <c r="E9" s="398"/>
      <c r="F9" s="398"/>
      <c r="G9" s="398"/>
      <c r="H9" s="398"/>
      <c r="I9" s="399"/>
      <c r="J9" s="398"/>
      <c r="K9" s="398"/>
      <c r="L9" s="398"/>
      <c r="M9" s="402"/>
      <c r="N9" s="397"/>
      <c r="O9" s="398"/>
      <c r="P9" s="398"/>
      <c r="Q9" s="399"/>
      <c r="R9" s="402"/>
    </row>
    <row r="10" spans="1:22" s="244" customFormat="1" ht="64.5" customHeight="1" x14ac:dyDescent="0.2">
      <c r="A10" s="405"/>
      <c r="B10" s="408"/>
      <c r="C10" s="413"/>
      <c r="D10" s="398"/>
      <c r="E10" s="398"/>
      <c r="F10" s="398"/>
      <c r="G10" s="398"/>
      <c r="H10" s="398"/>
      <c r="I10" s="399"/>
      <c r="J10" s="398"/>
      <c r="K10" s="398"/>
      <c r="L10" s="398"/>
      <c r="M10" s="402"/>
      <c r="N10" s="397"/>
      <c r="O10" s="398"/>
      <c r="P10" s="398"/>
      <c r="Q10" s="399"/>
      <c r="R10" s="402"/>
    </row>
    <row r="11" spans="1:22" s="244" customFormat="1" ht="15" customHeight="1" x14ac:dyDescent="0.2">
      <c r="A11" s="405"/>
      <c r="B11" s="408"/>
      <c r="C11" s="414" t="s">
        <v>27</v>
      </c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414"/>
      <c r="Q11" s="414"/>
      <c r="R11" s="415"/>
    </row>
    <row r="12" spans="1:22" s="244" customFormat="1" ht="207.75" customHeight="1" x14ac:dyDescent="0.2">
      <c r="A12" s="406"/>
      <c r="B12" s="409"/>
      <c r="C12" s="245" t="s">
        <v>47</v>
      </c>
      <c r="D12" s="246" t="s">
        <v>47</v>
      </c>
      <c r="E12" s="246" t="s">
        <v>172</v>
      </c>
      <c r="F12" s="246" t="s">
        <v>173</v>
      </c>
      <c r="G12" s="246" t="s">
        <v>174</v>
      </c>
      <c r="H12" s="246" t="s">
        <v>175</v>
      </c>
      <c r="I12" s="247" t="s">
        <v>50</v>
      </c>
      <c r="J12" s="246" t="s">
        <v>44</v>
      </c>
      <c r="K12" s="246" t="s">
        <v>44</v>
      </c>
      <c r="L12" s="248" t="s">
        <v>176</v>
      </c>
      <c r="M12" s="249"/>
      <c r="N12" s="250" t="s">
        <v>47</v>
      </c>
      <c r="O12" s="246" t="s">
        <v>47</v>
      </c>
      <c r="P12" s="246" t="s">
        <v>177</v>
      </c>
      <c r="Q12" s="251" t="s">
        <v>45</v>
      </c>
      <c r="R12" s="249"/>
    </row>
    <row r="13" spans="1:22" s="255" customFormat="1" ht="14.25" x14ac:dyDescent="0.2">
      <c r="A13" s="103">
        <v>1</v>
      </c>
      <c r="B13" s="103">
        <v>2</v>
      </c>
      <c r="C13" s="252">
        <v>3</v>
      </c>
      <c r="D13" s="103">
        <v>4</v>
      </c>
      <c r="E13" s="252">
        <v>5</v>
      </c>
      <c r="F13" s="103">
        <v>6</v>
      </c>
      <c r="G13" s="252">
        <v>7</v>
      </c>
      <c r="H13" s="103">
        <v>8</v>
      </c>
      <c r="I13" s="253">
        <v>9</v>
      </c>
      <c r="J13" s="103">
        <v>10</v>
      </c>
      <c r="K13" s="252">
        <v>11</v>
      </c>
      <c r="L13" s="103">
        <v>12</v>
      </c>
      <c r="M13" s="252">
        <v>13</v>
      </c>
      <c r="N13" s="103">
        <v>14</v>
      </c>
      <c r="O13" s="252">
        <v>15</v>
      </c>
      <c r="P13" s="103">
        <v>16</v>
      </c>
      <c r="Q13" s="254">
        <v>17</v>
      </c>
      <c r="R13" s="103">
        <v>18</v>
      </c>
    </row>
    <row r="14" spans="1:22" ht="15" customHeight="1" x14ac:dyDescent="0.25">
      <c r="A14" s="174"/>
      <c r="B14" s="256"/>
      <c r="C14" s="400" t="s">
        <v>56</v>
      </c>
      <c r="D14" s="400"/>
      <c r="E14" s="400"/>
      <c r="F14" s="400"/>
      <c r="G14" s="400"/>
      <c r="H14" s="400"/>
      <c r="I14" s="400"/>
      <c r="J14" s="400"/>
      <c r="K14" s="400"/>
      <c r="L14" s="400"/>
      <c r="M14" s="400"/>
      <c r="N14" s="400"/>
      <c r="O14" s="400"/>
      <c r="P14" s="400"/>
      <c r="Q14" s="400"/>
      <c r="R14" s="401"/>
    </row>
    <row r="15" spans="1:22" s="260" customFormat="1" ht="63.75" x14ac:dyDescent="0.25">
      <c r="A15" s="192">
        <v>1</v>
      </c>
      <c r="B15" s="105" t="s">
        <v>2</v>
      </c>
      <c r="C15" s="257"/>
      <c r="D15" s="198"/>
      <c r="E15" s="258">
        <f>IFERROR(ROUND(C15/D15,9),0)</f>
        <v>0</v>
      </c>
      <c r="F15" s="196" t="s">
        <v>28</v>
      </c>
      <c r="G15" s="195">
        <f>IFERROR(ROUND((E15/P15*100-100),9),0)</f>
        <v>0</v>
      </c>
      <c r="H15" s="196" t="s">
        <v>28</v>
      </c>
      <c r="I15" s="259"/>
      <c r="J15" s="198"/>
      <c r="K15" s="198"/>
      <c r="L15" s="198">
        <v>0</v>
      </c>
      <c r="M15" s="199"/>
      <c r="N15" s="257"/>
      <c r="O15" s="198"/>
      <c r="P15" s="195">
        <f t="shared" ref="P15:P19" si="0">IFERROR(ROUND(N15/O15,9),0)</f>
        <v>0</v>
      </c>
      <c r="Q15" s="200"/>
      <c r="R15" s="199"/>
      <c r="T15" s="261" t="b">
        <f t="shared" ref="T15:T28" si="1">IF(L15&gt;0,1)</f>
        <v>0</v>
      </c>
      <c r="U15" s="261" t="b">
        <f t="shared" ref="U15:U28" si="2">IF(I15&gt;0,1)</f>
        <v>0</v>
      </c>
      <c r="V15" s="261"/>
    </row>
    <row r="16" spans="1:22" ht="127.5" x14ac:dyDescent="0.25">
      <c r="A16" s="201">
        <v>2</v>
      </c>
      <c r="B16" s="106" t="s">
        <v>3</v>
      </c>
      <c r="C16" s="202"/>
      <c r="D16" s="203"/>
      <c r="E16" s="204">
        <f t="shared" ref="E16:E27" si="3">IFERROR(ROUND(C16/D16,9),0)</f>
        <v>0</v>
      </c>
      <c r="F16" s="205" t="s">
        <v>28</v>
      </c>
      <c r="G16" s="206">
        <f t="shared" ref="G16:G22" si="4">IFERROR(ROUND((E16/P16*100-100),9),0)</f>
        <v>0</v>
      </c>
      <c r="H16" s="205" t="s">
        <v>28</v>
      </c>
      <c r="I16" s="262"/>
      <c r="J16" s="203"/>
      <c r="K16" s="203"/>
      <c r="L16" s="203">
        <v>0</v>
      </c>
      <c r="M16" s="209"/>
      <c r="N16" s="202"/>
      <c r="O16" s="203"/>
      <c r="P16" s="206">
        <f t="shared" si="0"/>
        <v>0</v>
      </c>
      <c r="Q16" s="210"/>
      <c r="R16" s="209"/>
      <c r="T16" s="261" t="b">
        <f t="shared" si="1"/>
        <v>0</v>
      </c>
      <c r="U16" s="261" t="b">
        <f t="shared" si="2"/>
        <v>0</v>
      </c>
    </row>
    <row r="17" spans="1:21" ht="147" customHeight="1" x14ac:dyDescent="0.25">
      <c r="A17" s="201">
        <v>3</v>
      </c>
      <c r="B17" s="106" t="s">
        <v>4</v>
      </c>
      <c r="C17" s="202"/>
      <c r="D17" s="203"/>
      <c r="E17" s="213">
        <f t="shared" si="3"/>
        <v>0</v>
      </c>
      <c r="F17" s="203" t="s">
        <v>28</v>
      </c>
      <c r="G17" s="206">
        <f t="shared" si="4"/>
        <v>0</v>
      </c>
      <c r="H17" s="203" t="s">
        <v>28</v>
      </c>
      <c r="I17" s="210"/>
      <c r="J17" s="203"/>
      <c r="K17" s="203"/>
      <c r="L17" s="203">
        <v>0</v>
      </c>
      <c r="M17" s="209"/>
      <c r="N17" s="202"/>
      <c r="O17" s="203"/>
      <c r="P17" s="206">
        <f t="shared" si="0"/>
        <v>0</v>
      </c>
      <c r="Q17" s="210"/>
      <c r="R17" s="209"/>
      <c r="T17" s="261" t="b">
        <f t="shared" si="1"/>
        <v>0</v>
      </c>
      <c r="U17" s="261" t="b">
        <f t="shared" si="2"/>
        <v>0</v>
      </c>
    </row>
    <row r="18" spans="1:21" ht="153" x14ac:dyDescent="0.25">
      <c r="A18" s="201">
        <v>4</v>
      </c>
      <c r="B18" s="106" t="s">
        <v>5</v>
      </c>
      <c r="C18" s="202"/>
      <c r="D18" s="203"/>
      <c r="E18" s="213">
        <f t="shared" si="3"/>
        <v>0</v>
      </c>
      <c r="F18" s="203" t="s">
        <v>28</v>
      </c>
      <c r="G18" s="206">
        <f t="shared" si="4"/>
        <v>0</v>
      </c>
      <c r="H18" s="203" t="s">
        <v>28</v>
      </c>
      <c r="I18" s="210"/>
      <c r="J18" s="203"/>
      <c r="K18" s="203"/>
      <c r="L18" s="203">
        <v>0</v>
      </c>
      <c r="M18" s="209"/>
      <c r="N18" s="202"/>
      <c r="O18" s="203"/>
      <c r="P18" s="206">
        <f t="shared" si="0"/>
        <v>0</v>
      </c>
      <c r="Q18" s="210"/>
      <c r="R18" s="209"/>
      <c r="T18" s="261" t="b">
        <f t="shared" si="1"/>
        <v>0</v>
      </c>
      <c r="U18" s="261" t="b">
        <f t="shared" si="2"/>
        <v>0</v>
      </c>
    </row>
    <row r="19" spans="1:21" ht="114.75" customHeight="1" x14ac:dyDescent="0.25">
      <c r="A19" s="201">
        <v>5</v>
      </c>
      <c r="B19" s="106" t="s">
        <v>6</v>
      </c>
      <c r="C19" s="202"/>
      <c r="D19" s="203"/>
      <c r="E19" s="213">
        <f t="shared" si="3"/>
        <v>0</v>
      </c>
      <c r="F19" s="203" t="s">
        <v>28</v>
      </c>
      <c r="G19" s="206">
        <f t="shared" si="4"/>
        <v>0</v>
      </c>
      <c r="H19" s="203" t="s">
        <v>28</v>
      </c>
      <c r="I19" s="210"/>
      <c r="J19" s="203"/>
      <c r="K19" s="203"/>
      <c r="L19" s="203">
        <v>0</v>
      </c>
      <c r="M19" s="209"/>
      <c r="N19" s="202"/>
      <c r="O19" s="203"/>
      <c r="P19" s="206">
        <f t="shared" si="0"/>
        <v>0</v>
      </c>
      <c r="Q19" s="210"/>
      <c r="R19" s="209"/>
      <c r="T19" s="261" t="b">
        <f t="shared" si="1"/>
        <v>0</v>
      </c>
      <c r="U19" s="261" t="b">
        <f t="shared" si="2"/>
        <v>0</v>
      </c>
    </row>
    <row r="20" spans="1:21" s="264" customFormat="1" ht="76.5" x14ac:dyDescent="0.25">
      <c r="A20" s="214">
        <v>6</v>
      </c>
      <c r="B20" s="107" t="s">
        <v>7</v>
      </c>
      <c r="C20" s="263"/>
      <c r="D20" s="216"/>
      <c r="E20" s="215">
        <f t="shared" si="3"/>
        <v>0</v>
      </c>
      <c r="F20" s="216"/>
      <c r="G20" s="216" t="s">
        <v>28</v>
      </c>
      <c r="H20" s="217">
        <f>IFERROR(ROUND(E20/F20,9),0)</f>
        <v>0</v>
      </c>
      <c r="I20" s="225"/>
      <c r="J20" s="216" t="s">
        <v>28</v>
      </c>
      <c r="K20" s="216"/>
      <c r="L20" s="216">
        <v>0</v>
      </c>
      <c r="M20" s="218"/>
      <c r="N20" s="216" t="s">
        <v>28</v>
      </c>
      <c r="O20" s="216" t="s">
        <v>28</v>
      </c>
      <c r="P20" s="216" t="s">
        <v>28</v>
      </c>
      <c r="Q20" s="225" t="s">
        <v>28</v>
      </c>
      <c r="R20" s="218"/>
      <c r="T20" s="261" t="b">
        <f t="shared" si="1"/>
        <v>0</v>
      </c>
      <c r="U20" s="261" t="b">
        <f t="shared" si="2"/>
        <v>0</v>
      </c>
    </row>
    <row r="21" spans="1:21" ht="140.25" x14ac:dyDescent="0.25">
      <c r="A21" s="201">
        <v>7</v>
      </c>
      <c r="B21" s="106" t="s">
        <v>8</v>
      </c>
      <c r="C21" s="202"/>
      <c r="D21" s="203"/>
      <c r="E21" s="213">
        <f t="shared" si="3"/>
        <v>0</v>
      </c>
      <c r="F21" s="203" t="s">
        <v>28</v>
      </c>
      <c r="G21" s="206">
        <f t="shared" si="4"/>
        <v>0</v>
      </c>
      <c r="H21" s="203" t="s">
        <v>28</v>
      </c>
      <c r="I21" s="210"/>
      <c r="J21" s="203"/>
      <c r="K21" s="203"/>
      <c r="L21" s="203">
        <v>0</v>
      </c>
      <c r="M21" s="209"/>
      <c r="N21" s="202"/>
      <c r="O21" s="203"/>
      <c r="P21" s="206">
        <f t="shared" ref="P21:P22" si="5">IFERROR(ROUND(N21/O21,9),0)</f>
        <v>0</v>
      </c>
      <c r="Q21" s="210"/>
      <c r="R21" s="209"/>
      <c r="T21" s="261" t="b">
        <f t="shared" si="1"/>
        <v>0</v>
      </c>
      <c r="U21" s="261" t="b">
        <f t="shared" si="2"/>
        <v>0</v>
      </c>
    </row>
    <row r="22" spans="1:21" ht="165.75" x14ac:dyDescent="0.25">
      <c r="A22" s="201">
        <v>8</v>
      </c>
      <c r="B22" s="106" t="s">
        <v>15</v>
      </c>
      <c r="C22" s="202"/>
      <c r="D22" s="203"/>
      <c r="E22" s="213">
        <f t="shared" si="3"/>
        <v>0</v>
      </c>
      <c r="F22" s="203" t="s">
        <v>28</v>
      </c>
      <c r="G22" s="206">
        <f t="shared" si="4"/>
        <v>0</v>
      </c>
      <c r="H22" s="203" t="s">
        <v>28</v>
      </c>
      <c r="I22" s="210"/>
      <c r="J22" s="203"/>
      <c r="K22" s="203"/>
      <c r="L22" s="203">
        <v>0</v>
      </c>
      <c r="M22" s="209"/>
      <c r="N22" s="202"/>
      <c r="O22" s="203"/>
      <c r="P22" s="206">
        <f t="shared" si="5"/>
        <v>0</v>
      </c>
      <c r="Q22" s="210"/>
      <c r="R22" s="209"/>
      <c r="T22" s="261" t="b">
        <f t="shared" si="1"/>
        <v>0</v>
      </c>
      <c r="U22" s="261" t="b">
        <f t="shared" si="2"/>
        <v>0</v>
      </c>
    </row>
    <row r="23" spans="1:21" ht="122.25" customHeight="1" x14ac:dyDescent="0.25">
      <c r="A23" s="201">
        <v>9</v>
      </c>
      <c r="B23" s="106" t="s">
        <v>14</v>
      </c>
      <c r="C23" s="202"/>
      <c r="D23" s="203"/>
      <c r="E23" s="213">
        <f t="shared" si="3"/>
        <v>0</v>
      </c>
      <c r="F23" s="203"/>
      <c r="G23" s="203" t="s">
        <v>28</v>
      </c>
      <c r="H23" s="206">
        <f>IFERROR(ROUND(E23/F23,9),0)</f>
        <v>0</v>
      </c>
      <c r="I23" s="210"/>
      <c r="J23" s="203" t="s">
        <v>28</v>
      </c>
      <c r="K23" s="203"/>
      <c r="L23" s="203">
        <v>0</v>
      </c>
      <c r="M23" s="209"/>
      <c r="N23" s="203" t="s">
        <v>28</v>
      </c>
      <c r="O23" s="203" t="s">
        <v>28</v>
      </c>
      <c r="P23" s="203" t="s">
        <v>28</v>
      </c>
      <c r="Q23" s="210" t="s">
        <v>28</v>
      </c>
      <c r="R23" s="209"/>
      <c r="T23" s="261" t="b">
        <f t="shared" si="1"/>
        <v>0</v>
      </c>
      <c r="U23" s="261" t="b">
        <f t="shared" si="2"/>
        <v>0</v>
      </c>
    </row>
    <row r="24" spans="1:21" ht="140.25" x14ac:dyDescent="0.25">
      <c r="A24" s="201">
        <v>10</v>
      </c>
      <c r="B24" s="106" t="s">
        <v>13</v>
      </c>
      <c r="C24" s="202"/>
      <c r="D24" s="203"/>
      <c r="E24" s="213">
        <f t="shared" si="3"/>
        <v>0</v>
      </c>
      <c r="F24" s="203"/>
      <c r="G24" s="203" t="s">
        <v>28</v>
      </c>
      <c r="H24" s="206">
        <f t="shared" ref="H24:H25" si="6">IFERROR(ROUND(E24/F24,9),0)</f>
        <v>0</v>
      </c>
      <c r="I24" s="210"/>
      <c r="J24" s="203" t="s">
        <v>28</v>
      </c>
      <c r="K24" s="203"/>
      <c r="L24" s="203">
        <v>0</v>
      </c>
      <c r="M24" s="209"/>
      <c r="N24" s="203" t="s">
        <v>28</v>
      </c>
      <c r="O24" s="203" t="s">
        <v>28</v>
      </c>
      <c r="P24" s="203" t="s">
        <v>28</v>
      </c>
      <c r="Q24" s="210" t="s">
        <v>28</v>
      </c>
      <c r="R24" s="209"/>
      <c r="T24" s="261" t="b">
        <f t="shared" si="1"/>
        <v>0</v>
      </c>
      <c r="U24" s="261" t="b">
        <f t="shared" si="2"/>
        <v>0</v>
      </c>
    </row>
    <row r="25" spans="1:21" ht="114.75" x14ac:dyDescent="0.25">
      <c r="A25" s="201">
        <v>11</v>
      </c>
      <c r="B25" s="106" t="s">
        <v>12</v>
      </c>
      <c r="C25" s="202"/>
      <c r="D25" s="203"/>
      <c r="E25" s="213">
        <f t="shared" si="3"/>
        <v>0</v>
      </c>
      <c r="F25" s="203"/>
      <c r="G25" s="203" t="s">
        <v>28</v>
      </c>
      <c r="H25" s="206">
        <f t="shared" si="6"/>
        <v>0</v>
      </c>
      <c r="I25" s="210"/>
      <c r="J25" s="203" t="s">
        <v>28</v>
      </c>
      <c r="K25" s="203"/>
      <c r="L25" s="203">
        <v>0</v>
      </c>
      <c r="M25" s="209"/>
      <c r="N25" s="203" t="s">
        <v>28</v>
      </c>
      <c r="O25" s="203" t="s">
        <v>28</v>
      </c>
      <c r="P25" s="203" t="s">
        <v>28</v>
      </c>
      <c r="Q25" s="210" t="s">
        <v>28</v>
      </c>
      <c r="R25" s="209"/>
      <c r="T25" s="261" t="b">
        <f t="shared" si="1"/>
        <v>0</v>
      </c>
      <c r="U25" s="261" t="b">
        <f t="shared" si="2"/>
        <v>0</v>
      </c>
    </row>
    <row r="26" spans="1:21" ht="97.5" customHeight="1" x14ac:dyDescent="0.25">
      <c r="A26" s="201">
        <v>12</v>
      </c>
      <c r="B26" s="106" t="s">
        <v>11</v>
      </c>
      <c r="C26" s="202"/>
      <c r="D26" s="203"/>
      <c r="E26" s="213">
        <f t="shared" si="3"/>
        <v>0</v>
      </c>
      <c r="F26" s="203" t="s">
        <v>28</v>
      </c>
      <c r="G26" s="206">
        <f t="shared" ref="G26:G28" si="7">IFERROR(ROUND((E26/P26*100-100),9),0)</f>
        <v>0</v>
      </c>
      <c r="H26" s="203" t="s">
        <v>28</v>
      </c>
      <c r="I26" s="210"/>
      <c r="J26" s="203"/>
      <c r="K26" s="203"/>
      <c r="L26" s="203">
        <v>0</v>
      </c>
      <c r="M26" s="209"/>
      <c r="N26" s="202"/>
      <c r="O26" s="203"/>
      <c r="P26" s="206">
        <f t="shared" ref="P26:P27" si="8">IFERROR(ROUND(N26/O26,9),0)</f>
        <v>0</v>
      </c>
      <c r="Q26" s="210"/>
      <c r="R26" s="209"/>
      <c r="T26" s="261" t="b">
        <f t="shared" si="1"/>
        <v>0</v>
      </c>
      <c r="U26" s="261" t="b">
        <f t="shared" si="2"/>
        <v>0</v>
      </c>
    </row>
    <row r="27" spans="1:21" ht="119.25" customHeight="1" x14ac:dyDescent="0.25">
      <c r="A27" s="201">
        <v>13</v>
      </c>
      <c r="B27" s="106" t="s">
        <v>10</v>
      </c>
      <c r="C27" s="202"/>
      <c r="D27" s="203"/>
      <c r="E27" s="213">
        <f t="shared" si="3"/>
        <v>0</v>
      </c>
      <c r="F27" s="203" t="s">
        <v>28</v>
      </c>
      <c r="G27" s="206">
        <f t="shared" si="7"/>
        <v>0</v>
      </c>
      <c r="H27" s="203" t="s">
        <v>28</v>
      </c>
      <c r="I27" s="210"/>
      <c r="J27" s="203"/>
      <c r="K27" s="203"/>
      <c r="L27" s="203">
        <v>0</v>
      </c>
      <c r="M27" s="209"/>
      <c r="N27" s="202"/>
      <c r="O27" s="203"/>
      <c r="P27" s="206">
        <f t="shared" si="8"/>
        <v>0</v>
      </c>
      <c r="Q27" s="210"/>
      <c r="R27" s="209"/>
      <c r="T27" s="261" t="b">
        <f t="shared" si="1"/>
        <v>0</v>
      </c>
      <c r="U27" s="261" t="b">
        <f t="shared" si="2"/>
        <v>0</v>
      </c>
    </row>
    <row r="28" spans="1:21" ht="140.25" x14ac:dyDescent="0.25">
      <c r="A28" s="201">
        <v>14</v>
      </c>
      <c r="B28" s="100" t="s">
        <v>9</v>
      </c>
      <c r="C28" s="202"/>
      <c r="D28" s="203"/>
      <c r="E28" s="213">
        <f>IFERROR(ROUND(C28/D28,9),0)</f>
        <v>0</v>
      </c>
      <c r="F28" s="203" t="s">
        <v>28</v>
      </c>
      <c r="G28" s="206">
        <f t="shared" si="7"/>
        <v>0</v>
      </c>
      <c r="H28" s="203" t="s">
        <v>28</v>
      </c>
      <c r="I28" s="210"/>
      <c r="J28" s="203"/>
      <c r="K28" s="203"/>
      <c r="L28" s="203">
        <v>0</v>
      </c>
      <c r="M28" s="209"/>
      <c r="N28" s="202"/>
      <c r="O28" s="203"/>
      <c r="P28" s="206">
        <f>IFERROR(ROUND(N28/O28,9),0)</f>
        <v>0</v>
      </c>
      <c r="Q28" s="210"/>
      <c r="R28" s="209"/>
      <c r="T28" s="261" t="b">
        <f t="shared" si="1"/>
        <v>0</v>
      </c>
      <c r="U28" s="261" t="b">
        <f t="shared" si="2"/>
        <v>0</v>
      </c>
    </row>
    <row r="29" spans="1:21" ht="27.75" customHeight="1" x14ac:dyDescent="0.25">
      <c r="A29" s="219"/>
      <c r="B29" s="108"/>
      <c r="C29" s="379" t="s">
        <v>57</v>
      </c>
      <c r="D29" s="379"/>
      <c r="E29" s="379"/>
      <c r="F29" s="379"/>
      <c r="G29" s="379"/>
      <c r="H29" s="379"/>
      <c r="I29" s="379"/>
      <c r="J29" s="379"/>
      <c r="K29" s="379"/>
      <c r="L29" s="379"/>
      <c r="M29" s="379"/>
      <c r="N29" s="379"/>
      <c r="O29" s="379"/>
      <c r="P29" s="379"/>
      <c r="Q29" s="379"/>
      <c r="R29" s="380"/>
      <c r="T29" s="261"/>
      <c r="U29" s="261"/>
    </row>
    <row r="30" spans="1:21" s="264" customFormat="1" ht="42.75" customHeight="1" x14ac:dyDescent="0.25">
      <c r="A30" s="214">
        <v>15</v>
      </c>
      <c r="B30" s="101" t="s">
        <v>16</v>
      </c>
      <c r="C30" s="223">
        <v>9507</v>
      </c>
      <c r="D30" s="224">
        <v>10559</v>
      </c>
      <c r="E30" s="265">
        <f t="shared" ref="E30:E35" si="9">IFERROR(ROUND(C30/D30,9),0)</f>
        <v>0.90036935299999998</v>
      </c>
      <c r="F30" s="216">
        <v>0.95</v>
      </c>
      <c r="G30" s="216" t="s">
        <v>28</v>
      </c>
      <c r="H30" s="216">
        <f t="shared" ref="H30:H35" si="10">IFERROR(ROUND(E30/F30,9),0)</f>
        <v>0.94775721400000001</v>
      </c>
      <c r="I30" s="225">
        <v>0</v>
      </c>
      <c r="J30" s="216">
        <v>0</v>
      </c>
      <c r="K30" s="216">
        <v>0</v>
      </c>
      <c r="L30" s="216">
        <v>1</v>
      </c>
      <c r="M30" s="218"/>
      <c r="N30" s="216" t="s">
        <v>28</v>
      </c>
      <c r="O30" s="216" t="s">
        <v>28</v>
      </c>
      <c r="P30" s="225" t="s">
        <v>28</v>
      </c>
      <c r="Q30" s="225">
        <v>0</v>
      </c>
      <c r="R30" s="218"/>
      <c r="T30" s="261">
        <f>IF(L30&gt;0,1)</f>
        <v>1</v>
      </c>
      <c r="U30" s="261" t="b">
        <f>IF(I30&gt;0,1)</f>
        <v>0</v>
      </c>
    </row>
    <row r="31" spans="1:21" ht="159" customHeight="1" x14ac:dyDescent="0.25">
      <c r="A31" s="201">
        <v>16</v>
      </c>
      <c r="B31" s="100" t="s">
        <v>17</v>
      </c>
      <c r="C31" s="202">
        <v>263</v>
      </c>
      <c r="D31" s="203">
        <v>351</v>
      </c>
      <c r="E31" s="213">
        <f t="shared" si="9"/>
        <v>0.74928774899999995</v>
      </c>
      <c r="F31" s="203">
        <v>0.7</v>
      </c>
      <c r="G31" s="203" t="s">
        <v>28</v>
      </c>
      <c r="H31" s="206">
        <f t="shared" si="10"/>
        <v>1.07041107</v>
      </c>
      <c r="I31" s="210">
        <v>1</v>
      </c>
      <c r="J31" s="203">
        <v>1</v>
      </c>
      <c r="K31" s="208">
        <v>1</v>
      </c>
      <c r="L31" s="203">
        <v>1</v>
      </c>
      <c r="M31" s="209"/>
      <c r="N31" s="203" t="s">
        <v>28</v>
      </c>
      <c r="O31" s="203" t="s">
        <v>28</v>
      </c>
      <c r="P31" s="208" t="s">
        <v>28</v>
      </c>
      <c r="Q31" s="212">
        <v>1</v>
      </c>
      <c r="R31" s="209"/>
      <c r="T31" s="261">
        <f t="shared" ref="T31:T32" si="11">IF(L31&gt;0,1)</f>
        <v>1</v>
      </c>
      <c r="U31" s="261">
        <f t="shared" ref="U31:U32" si="12">IF(I31&gt;0,1)</f>
        <v>1</v>
      </c>
    </row>
    <row r="32" spans="1:21" ht="149.25" customHeight="1" x14ac:dyDescent="0.25">
      <c r="A32" s="201">
        <v>17</v>
      </c>
      <c r="B32" s="100" t="s">
        <v>18</v>
      </c>
      <c r="C32" s="202">
        <v>97</v>
      </c>
      <c r="D32" s="203">
        <v>212</v>
      </c>
      <c r="E32" s="213">
        <f t="shared" si="9"/>
        <v>0.45754717</v>
      </c>
      <c r="F32" s="203">
        <v>0.7</v>
      </c>
      <c r="G32" s="203" t="s">
        <v>28</v>
      </c>
      <c r="H32" s="206">
        <f t="shared" si="10"/>
        <v>0.65363881400000001</v>
      </c>
      <c r="I32" s="210">
        <v>0.5</v>
      </c>
      <c r="J32" s="203">
        <v>0</v>
      </c>
      <c r="K32" s="208">
        <v>1</v>
      </c>
      <c r="L32" s="203">
        <v>1</v>
      </c>
      <c r="M32" s="209"/>
      <c r="N32" s="203" t="s">
        <v>28</v>
      </c>
      <c r="O32" s="203" t="s">
        <v>28</v>
      </c>
      <c r="P32" s="208" t="s">
        <v>28</v>
      </c>
      <c r="Q32" s="212">
        <v>0.5</v>
      </c>
      <c r="R32" s="209"/>
      <c r="T32" s="261">
        <f t="shared" si="11"/>
        <v>1</v>
      </c>
      <c r="U32" s="261">
        <f t="shared" si="12"/>
        <v>1</v>
      </c>
    </row>
    <row r="33" spans="1:22" ht="114.75" x14ac:dyDescent="0.25">
      <c r="A33" s="201">
        <v>18</v>
      </c>
      <c r="B33" s="100" t="s">
        <v>19</v>
      </c>
      <c r="C33" s="202">
        <v>1081</v>
      </c>
      <c r="D33" s="203">
        <v>3595</v>
      </c>
      <c r="E33" s="213">
        <f t="shared" si="9"/>
        <v>0.30069541</v>
      </c>
      <c r="F33" s="203">
        <v>0.7</v>
      </c>
      <c r="G33" s="203" t="s">
        <v>28</v>
      </c>
      <c r="H33" s="206">
        <f t="shared" si="10"/>
        <v>0.42956487100000001</v>
      </c>
      <c r="I33" s="210">
        <v>0.5</v>
      </c>
      <c r="J33" s="203">
        <v>0</v>
      </c>
      <c r="K33" s="203">
        <v>1</v>
      </c>
      <c r="L33" s="203">
        <v>1</v>
      </c>
      <c r="M33" s="209"/>
      <c r="N33" s="203" t="s">
        <v>28</v>
      </c>
      <c r="O33" s="203" t="s">
        <v>28</v>
      </c>
      <c r="P33" s="208" t="s">
        <v>28</v>
      </c>
      <c r="Q33" s="212">
        <v>0.5</v>
      </c>
      <c r="R33" s="209"/>
      <c r="T33" s="261">
        <f>IF(L33&gt;0,1)</f>
        <v>1</v>
      </c>
      <c r="U33" s="261">
        <f>IF(I33&gt;0,1)</f>
        <v>1</v>
      </c>
    </row>
    <row r="34" spans="1:22" ht="129" customHeight="1" x14ac:dyDescent="0.25">
      <c r="A34" s="201">
        <v>19</v>
      </c>
      <c r="B34" s="100" t="s">
        <v>20</v>
      </c>
      <c r="C34" s="202">
        <v>133</v>
      </c>
      <c r="D34" s="203">
        <v>168</v>
      </c>
      <c r="E34" s="213">
        <f t="shared" si="9"/>
        <v>0.79166666699999999</v>
      </c>
      <c r="F34" s="203">
        <v>0.7</v>
      </c>
      <c r="G34" s="203" t="s">
        <v>28</v>
      </c>
      <c r="H34" s="206">
        <f t="shared" si="10"/>
        <v>1.130952381</v>
      </c>
      <c r="I34" s="210">
        <v>2</v>
      </c>
      <c r="J34" s="203">
        <v>1</v>
      </c>
      <c r="K34" s="208">
        <v>0</v>
      </c>
      <c r="L34" s="203">
        <v>1</v>
      </c>
      <c r="M34" s="209"/>
      <c r="N34" s="203" t="s">
        <v>28</v>
      </c>
      <c r="O34" s="203" t="s">
        <v>28</v>
      </c>
      <c r="P34" s="208" t="s">
        <v>28</v>
      </c>
      <c r="Q34" s="212">
        <v>2</v>
      </c>
      <c r="R34" s="209"/>
      <c r="T34" s="261">
        <f t="shared" ref="T34:T35" si="13">IF(L34&gt;0,1)</f>
        <v>1</v>
      </c>
      <c r="U34" s="261">
        <f t="shared" ref="U34:U35" si="14">IF(I34&gt;0,1)</f>
        <v>1</v>
      </c>
    </row>
    <row r="35" spans="1:22" ht="174.75" customHeight="1" x14ac:dyDescent="0.25">
      <c r="A35" s="201">
        <v>20</v>
      </c>
      <c r="B35" s="100" t="s">
        <v>21</v>
      </c>
      <c r="C35" s="202">
        <v>496</v>
      </c>
      <c r="D35" s="203">
        <v>528</v>
      </c>
      <c r="E35" s="213">
        <f t="shared" si="9"/>
        <v>0.93939393900000001</v>
      </c>
      <c r="F35" s="203">
        <v>0.7</v>
      </c>
      <c r="G35" s="203" t="s">
        <v>28</v>
      </c>
      <c r="H35" s="206">
        <f t="shared" si="10"/>
        <v>1.3419913409999999</v>
      </c>
      <c r="I35" s="210">
        <v>1</v>
      </c>
      <c r="J35" s="203">
        <v>1</v>
      </c>
      <c r="K35" s="203">
        <v>0</v>
      </c>
      <c r="L35" s="203">
        <v>1</v>
      </c>
      <c r="M35" s="209"/>
      <c r="N35" s="203" t="s">
        <v>28</v>
      </c>
      <c r="O35" s="203" t="s">
        <v>28</v>
      </c>
      <c r="P35" s="208" t="s">
        <v>28</v>
      </c>
      <c r="Q35" s="212">
        <v>1</v>
      </c>
      <c r="R35" s="209"/>
      <c r="T35" s="261">
        <f t="shared" si="13"/>
        <v>1</v>
      </c>
      <c r="U35" s="261">
        <f t="shared" si="14"/>
        <v>1</v>
      </c>
    </row>
    <row r="36" spans="1:22" ht="20.25" x14ac:dyDescent="0.3">
      <c r="A36" s="219"/>
      <c r="B36" s="108"/>
      <c r="C36" s="379" t="s">
        <v>58</v>
      </c>
      <c r="D36" s="379"/>
      <c r="E36" s="379"/>
      <c r="F36" s="379"/>
      <c r="G36" s="379"/>
      <c r="H36" s="379"/>
      <c r="I36" s="379"/>
      <c r="J36" s="379"/>
      <c r="K36" s="379"/>
      <c r="L36" s="379"/>
      <c r="M36" s="379"/>
      <c r="N36" s="379"/>
      <c r="O36" s="379"/>
      <c r="P36" s="379"/>
      <c r="Q36" s="379"/>
      <c r="R36" s="380"/>
      <c r="T36" s="266">
        <f>SUM(T15:T35)</f>
        <v>6</v>
      </c>
      <c r="U36" s="266">
        <f>SUM(U15:U35)</f>
        <v>5</v>
      </c>
      <c r="V36" s="267">
        <f>U36/T36</f>
        <v>0.83333333333333337</v>
      </c>
    </row>
    <row r="37" spans="1:22" s="264" customFormat="1" ht="63.75" x14ac:dyDescent="0.25">
      <c r="A37" s="214">
        <v>21</v>
      </c>
      <c r="B37" s="107" t="s">
        <v>22</v>
      </c>
      <c r="C37" s="223">
        <v>43</v>
      </c>
      <c r="D37" s="224">
        <v>271</v>
      </c>
      <c r="E37" s="215">
        <f t="shared" ref="E37:E41" si="15">IFERROR(ROUND(C37/D37,9),0)</f>
        <v>0.158671587</v>
      </c>
      <c r="F37" s="216" t="s">
        <v>28</v>
      </c>
      <c r="G37" s="217">
        <f t="shared" ref="G37:G40" si="16">IFERROR(ROUND((E37/P37*100-100),9),0)</f>
        <v>50.271326670999997</v>
      </c>
      <c r="H37" s="216" t="s">
        <v>28</v>
      </c>
      <c r="I37" s="225">
        <v>1</v>
      </c>
      <c r="J37" s="216">
        <v>1</v>
      </c>
      <c r="K37" s="216">
        <v>0</v>
      </c>
      <c r="L37" s="216">
        <v>1</v>
      </c>
      <c r="M37" s="218"/>
      <c r="N37" s="263">
        <v>17</v>
      </c>
      <c r="O37" s="216">
        <v>161</v>
      </c>
      <c r="P37" s="217">
        <f>IFERROR(ROUND(N37/O37,9),0)</f>
        <v>0.105590062</v>
      </c>
      <c r="Q37" s="225">
        <v>0.5</v>
      </c>
      <c r="R37" s="218"/>
      <c r="T37" s="261">
        <f t="shared" ref="T37:T41" si="17">IF(L37&gt;0,1)</f>
        <v>1</v>
      </c>
      <c r="U37" s="261">
        <f t="shared" ref="U37:U41" si="18">IF(I37&gt;0,1)</f>
        <v>1</v>
      </c>
    </row>
    <row r="38" spans="1:22" s="264" customFormat="1" ht="98.25" customHeight="1" x14ac:dyDescent="0.25">
      <c r="A38" s="214">
        <v>22</v>
      </c>
      <c r="B38" s="107" t="s">
        <v>23</v>
      </c>
      <c r="C38" s="223">
        <v>0</v>
      </c>
      <c r="D38" s="224">
        <v>1123</v>
      </c>
      <c r="E38" s="215">
        <f t="shared" si="15"/>
        <v>0</v>
      </c>
      <c r="F38" s="216">
        <v>0.1</v>
      </c>
      <c r="G38" s="216" t="s">
        <v>28</v>
      </c>
      <c r="H38" s="217">
        <f t="shared" ref="H38" si="19">IFERROR(ROUND(E38/F38,9),0)</f>
        <v>0</v>
      </c>
      <c r="I38" s="225">
        <v>0</v>
      </c>
      <c r="J38" s="216" t="s">
        <v>28</v>
      </c>
      <c r="K38" s="216">
        <v>0</v>
      </c>
      <c r="L38" s="216">
        <v>1</v>
      </c>
      <c r="M38" s="218"/>
      <c r="N38" s="216" t="s">
        <v>28</v>
      </c>
      <c r="O38" s="216" t="s">
        <v>28</v>
      </c>
      <c r="P38" s="216" t="s">
        <v>28</v>
      </c>
      <c r="Q38" s="225">
        <v>1</v>
      </c>
      <c r="R38" s="218"/>
      <c r="T38" s="261">
        <f t="shared" si="17"/>
        <v>1</v>
      </c>
      <c r="U38" s="261" t="b">
        <f t="shared" si="18"/>
        <v>0</v>
      </c>
    </row>
    <row r="39" spans="1:22" ht="114.75" x14ac:dyDescent="0.25">
      <c r="A39" s="201">
        <v>23</v>
      </c>
      <c r="B39" s="106" t="s">
        <v>24</v>
      </c>
      <c r="C39" s="202"/>
      <c r="D39" s="203"/>
      <c r="E39" s="213">
        <f t="shared" si="15"/>
        <v>0</v>
      </c>
      <c r="F39" s="203" t="s">
        <v>28</v>
      </c>
      <c r="G39" s="206">
        <f t="shared" si="16"/>
        <v>0</v>
      </c>
      <c r="H39" s="203" t="s">
        <v>28</v>
      </c>
      <c r="I39" s="210"/>
      <c r="J39" s="203"/>
      <c r="K39" s="203"/>
      <c r="L39" s="203">
        <v>0</v>
      </c>
      <c r="M39" s="209"/>
      <c r="N39" s="202"/>
      <c r="O39" s="203"/>
      <c r="P39" s="206">
        <f>IFERROR(ROUND(N39/O39,9),0)</f>
        <v>0</v>
      </c>
      <c r="Q39" s="210"/>
      <c r="R39" s="209"/>
      <c r="T39" s="261" t="b">
        <f t="shared" si="17"/>
        <v>0</v>
      </c>
      <c r="U39" s="261" t="b">
        <f t="shared" si="18"/>
        <v>0</v>
      </c>
    </row>
    <row r="40" spans="1:22" ht="114.75" x14ac:dyDescent="0.25">
      <c r="A40" s="201">
        <v>24</v>
      </c>
      <c r="B40" s="106" t="s">
        <v>25</v>
      </c>
      <c r="C40" s="202"/>
      <c r="D40" s="203"/>
      <c r="E40" s="213">
        <f t="shared" si="15"/>
        <v>0</v>
      </c>
      <c r="F40" s="203" t="s">
        <v>28</v>
      </c>
      <c r="G40" s="206">
        <f t="shared" si="16"/>
        <v>0</v>
      </c>
      <c r="H40" s="203" t="s">
        <v>28</v>
      </c>
      <c r="I40" s="210"/>
      <c r="J40" s="203"/>
      <c r="K40" s="203"/>
      <c r="L40" s="203">
        <v>0</v>
      </c>
      <c r="M40" s="209"/>
      <c r="N40" s="202"/>
      <c r="O40" s="203"/>
      <c r="P40" s="206">
        <f>IFERROR(ROUND(N40/O40,9),0)</f>
        <v>0</v>
      </c>
      <c r="Q40" s="210"/>
      <c r="R40" s="209"/>
      <c r="T40" s="261" t="b">
        <f t="shared" si="17"/>
        <v>0</v>
      </c>
      <c r="U40" s="261" t="b">
        <f t="shared" si="18"/>
        <v>0</v>
      </c>
    </row>
    <row r="41" spans="1:22" s="264" customFormat="1" ht="111" customHeight="1" x14ac:dyDescent="0.25">
      <c r="A41" s="214">
        <v>25</v>
      </c>
      <c r="B41" s="107" t="s">
        <v>26</v>
      </c>
      <c r="C41" s="223">
        <v>1230</v>
      </c>
      <c r="D41" s="224">
        <v>1360</v>
      </c>
      <c r="E41" s="215">
        <f t="shared" si="15"/>
        <v>0.90441176499999998</v>
      </c>
      <c r="F41" s="216">
        <v>0.89</v>
      </c>
      <c r="G41" s="216" t="s">
        <v>28</v>
      </c>
      <c r="H41" s="217">
        <f t="shared" ref="H41" si="20">IFERROR(ROUND(E41/F41,9),0)</f>
        <v>1.0161929940000001</v>
      </c>
      <c r="I41" s="225">
        <v>2</v>
      </c>
      <c r="J41" s="216" t="s">
        <v>28</v>
      </c>
      <c r="K41" s="216">
        <v>0</v>
      </c>
      <c r="L41" s="216">
        <v>1</v>
      </c>
      <c r="M41" s="218"/>
      <c r="N41" s="216" t="s">
        <v>28</v>
      </c>
      <c r="O41" s="216" t="s">
        <v>28</v>
      </c>
      <c r="P41" s="216" t="s">
        <v>28</v>
      </c>
      <c r="Q41" s="225">
        <v>0</v>
      </c>
      <c r="R41" s="218"/>
      <c r="T41" s="261">
        <f t="shared" si="17"/>
        <v>1</v>
      </c>
      <c r="U41" s="261">
        <f t="shared" si="18"/>
        <v>1</v>
      </c>
    </row>
    <row r="42" spans="1:22" ht="20.25" x14ac:dyDescent="0.3">
      <c r="A42" s="226"/>
      <c r="B42" s="109"/>
      <c r="C42" s="379" t="s">
        <v>59</v>
      </c>
      <c r="D42" s="379"/>
      <c r="E42" s="379"/>
      <c r="F42" s="379"/>
      <c r="G42" s="379"/>
      <c r="H42" s="379"/>
      <c r="I42" s="379"/>
      <c r="J42" s="379"/>
      <c r="K42" s="379"/>
      <c r="L42" s="379"/>
      <c r="M42" s="379"/>
      <c r="N42" s="379"/>
      <c r="O42" s="379"/>
      <c r="P42" s="379"/>
      <c r="Q42" s="379"/>
      <c r="R42" s="380"/>
      <c r="T42" s="266">
        <f>SUM(T37:T41)</f>
        <v>3</v>
      </c>
      <c r="U42" s="266">
        <f>SUM(U37:U41)</f>
        <v>2</v>
      </c>
      <c r="V42" s="267">
        <f>U42/T42</f>
        <v>0.66666666666666663</v>
      </c>
    </row>
    <row r="43" spans="1:22" s="260" customFormat="1" ht="38.25" x14ac:dyDescent="0.25">
      <c r="A43" s="192">
        <v>26</v>
      </c>
      <c r="B43" s="105" t="s">
        <v>40</v>
      </c>
      <c r="C43" s="257"/>
      <c r="D43" s="198"/>
      <c r="E43" s="258">
        <f>IFERROR(ROUND(C43/D43,9),0)</f>
        <v>0</v>
      </c>
      <c r="F43" s="198">
        <v>0</v>
      </c>
      <c r="G43" s="198" t="s">
        <v>28</v>
      </c>
      <c r="H43" s="195">
        <f t="shared" ref="H43" si="21">IFERROR(ROUND(E43/F43,9),0)</f>
        <v>0</v>
      </c>
      <c r="I43" s="200"/>
      <c r="J43" s="198"/>
      <c r="K43" s="198"/>
      <c r="L43" s="198">
        <v>0</v>
      </c>
      <c r="M43" s="199"/>
      <c r="N43" s="257"/>
      <c r="O43" s="198"/>
      <c r="P43" s="195">
        <f>IFERROR(ROUND(N43/O43,9),0)</f>
        <v>0</v>
      </c>
      <c r="Q43" s="200"/>
      <c r="R43" s="199"/>
    </row>
    <row r="44" spans="1:22" x14ac:dyDescent="0.25">
      <c r="A44" s="201"/>
      <c r="B44" s="110"/>
      <c r="C44" s="235"/>
      <c r="D44" s="201"/>
      <c r="E44" s="201"/>
      <c r="F44" s="201"/>
      <c r="G44" s="201"/>
      <c r="H44" s="201"/>
      <c r="I44" s="268"/>
      <c r="J44" s="201"/>
      <c r="K44" s="201"/>
      <c r="L44" s="201"/>
      <c r="M44" s="269"/>
      <c r="N44" s="235"/>
      <c r="O44" s="201"/>
      <c r="P44" s="201"/>
      <c r="Q44" s="268"/>
      <c r="R44" s="269"/>
    </row>
    <row r="45" spans="1:22" x14ac:dyDescent="0.25">
      <c r="A45" s="201"/>
      <c r="B45" s="110"/>
      <c r="C45" s="235"/>
      <c r="D45" s="201"/>
      <c r="E45" s="201"/>
      <c r="F45" s="201"/>
      <c r="G45" s="201"/>
      <c r="H45" s="201"/>
      <c r="I45" s="268"/>
      <c r="J45" s="201"/>
      <c r="K45" s="201"/>
      <c r="L45" s="201"/>
      <c r="M45" s="269"/>
      <c r="N45" s="235"/>
      <c r="O45" s="201"/>
      <c r="P45" s="201"/>
      <c r="Q45" s="268"/>
      <c r="R45" s="269"/>
    </row>
    <row r="46" spans="1:22" x14ac:dyDescent="0.25">
      <c r="A46" s="201"/>
      <c r="B46" s="110"/>
      <c r="C46" s="235"/>
      <c r="D46" s="201"/>
      <c r="E46" s="201"/>
      <c r="F46" s="201"/>
      <c r="G46" s="201"/>
      <c r="H46" s="201"/>
      <c r="I46" s="268"/>
      <c r="J46" s="201"/>
      <c r="K46" s="201"/>
      <c r="L46" s="201"/>
      <c r="M46" s="269"/>
      <c r="N46" s="235"/>
      <c r="O46" s="201"/>
      <c r="P46" s="201"/>
      <c r="Q46" s="268"/>
      <c r="R46" s="269"/>
    </row>
    <row r="47" spans="1:22" x14ac:dyDescent="0.25">
      <c r="A47" s="201"/>
      <c r="B47" s="110"/>
      <c r="C47" s="235"/>
      <c r="D47" s="201"/>
      <c r="E47" s="201"/>
      <c r="F47" s="201"/>
      <c r="G47" s="201"/>
      <c r="H47" s="201"/>
      <c r="I47" s="268"/>
      <c r="J47" s="201"/>
      <c r="K47" s="201"/>
      <c r="L47" s="201"/>
      <c r="M47" s="269"/>
      <c r="N47" s="235"/>
      <c r="O47" s="201"/>
      <c r="P47" s="201"/>
      <c r="Q47" s="268"/>
      <c r="R47" s="269"/>
    </row>
    <row r="48" spans="1:22" x14ac:dyDescent="0.25">
      <c r="A48" s="201"/>
      <c r="B48" s="110"/>
      <c r="C48" s="235"/>
      <c r="D48" s="201"/>
      <c r="E48" s="201"/>
      <c r="F48" s="201"/>
      <c r="G48" s="201"/>
      <c r="H48" s="201"/>
      <c r="I48" s="268"/>
      <c r="J48" s="201"/>
      <c r="K48" s="201"/>
      <c r="L48" s="201"/>
      <c r="M48" s="269"/>
      <c r="N48" s="235"/>
      <c r="O48" s="201"/>
      <c r="P48" s="201"/>
      <c r="Q48" s="268"/>
      <c r="R48" s="269"/>
    </row>
    <row r="49" spans="1:18" x14ac:dyDescent="0.25">
      <c r="A49" s="201"/>
      <c r="B49" s="110"/>
      <c r="C49" s="235"/>
      <c r="D49" s="201"/>
      <c r="E49" s="201"/>
      <c r="F49" s="201"/>
      <c r="G49" s="201"/>
      <c r="H49" s="201"/>
      <c r="I49" s="268"/>
      <c r="J49" s="201"/>
      <c r="K49" s="201"/>
      <c r="L49" s="201"/>
      <c r="M49" s="269"/>
      <c r="N49" s="235"/>
      <c r="O49" s="201"/>
      <c r="P49" s="201"/>
      <c r="Q49" s="268"/>
      <c r="R49" s="269"/>
    </row>
    <row r="50" spans="1:18" x14ac:dyDescent="0.25">
      <c r="A50" s="201"/>
      <c r="B50" s="110"/>
      <c r="C50" s="235"/>
      <c r="D50" s="201"/>
      <c r="E50" s="201"/>
      <c r="F50" s="201"/>
      <c r="G50" s="201"/>
      <c r="H50" s="201"/>
      <c r="I50" s="268"/>
      <c r="J50" s="201"/>
      <c r="K50" s="201"/>
      <c r="L50" s="201"/>
      <c r="M50" s="269"/>
      <c r="N50" s="235"/>
      <c r="O50" s="201"/>
      <c r="P50" s="201"/>
      <c r="Q50" s="268"/>
      <c r="R50" s="269"/>
    </row>
    <row r="51" spans="1:18" x14ac:dyDescent="0.25">
      <c r="A51" s="201"/>
      <c r="B51" s="110"/>
      <c r="C51" s="235"/>
      <c r="D51" s="201"/>
      <c r="E51" s="201"/>
      <c r="F51" s="201"/>
      <c r="G51" s="201"/>
      <c r="H51" s="201"/>
      <c r="I51" s="268"/>
      <c r="J51" s="201"/>
      <c r="K51" s="201"/>
      <c r="L51" s="201"/>
      <c r="M51" s="269"/>
      <c r="N51" s="235"/>
      <c r="O51" s="201"/>
      <c r="P51" s="201"/>
      <c r="Q51" s="268"/>
      <c r="R51" s="269"/>
    </row>
    <row r="52" spans="1:18" x14ac:dyDescent="0.25">
      <c r="A52" s="201"/>
      <c r="B52" s="110"/>
      <c r="C52" s="235"/>
      <c r="D52" s="201"/>
      <c r="E52" s="201"/>
      <c r="F52" s="201"/>
      <c r="G52" s="201"/>
      <c r="H52" s="201"/>
      <c r="I52" s="268"/>
      <c r="J52" s="201"/>
      <c r="K52" s="201"/>
      <c r="L52" s="201"/>
      <c r="M52" s="269"/>
      <c r="N52" s="235"/>
      <c r="O52" s="201"/>
      <c r="P52" s="201"/>
      <c r="Q52" s="268"/>
      <c r="R52" s="269"/>
    </row>
    <row r="53" spans="1:18" ht="51.75" customHeight="1" x14ac:dyDescent="0.25">
      <c r="A53" s="395"/>
      <c r="B53" s="395"/>
      <c r="C53" s="395"/>
      <c r="D53" s="395"/>
      <c r="E53" s="395"/>
      <c r="F53" s="395"/>
      <c r="G53" s="395"/>
      <c r="H53" s="395"/>
      <c r="I53" s="395"/>
      <c r="J53" s="395"/>
      <c r="K53" s="395"/>
      <c r="L53" s="395"/>
      <c r="M53" s="395"/>
      <c r="N53" s="395"/>
      <c r="O53" s="395"/>
      <c r="P53" s="395"/>
      <c r="Q53" s="395"/>
      <c r="R53" s="395"/>
    </row>
    <row r="54" spans="1:18" ht="19.5" customHeight="1" x14ac:dyDescent="0.25">
      <c r="A54" s="395"/>
      <c r="B54" s="396"/>
      <c r="C54" s="396"/>
      <c r="D54" s="396"/>
      <c r="E54" s="396"/>
      <c r="F54" s="396"/>
      <c r="G54" s="396"/>
      <c r="H54" s="396"/>
      <c r="I54" s="396"/>
      <c r="J54" s="396"/>
      <c r="K54" s="396"/>
      <c r="L54" s="396"/>
      <c r="M54" s="396"/>
      <c r="N54" s="396"/>
      <c r="O54" s="396"/>
      <c r="P54" s="396"/>
      <c r="Q54" s="270"/>
      <c r="R54" s="244"/>
    </row>
    <row r="55" spans="1:18" ht="15.75" x14ac:dyDescent="0.25">
      <c r="A55" s="243"/>
      <c r="B55" s="111"/>
      <c r="C55" s="320"/>
      <c r="D55" s="320"/>
      <c r="E55" s="320"/>
      <c r="F55" s="320"/>
      <c r="G55" s="320"/>
      <c r="H55" s="320"/>
      <c r="I55" s="320"/>
      <c r="J55" s="320"/>
      <c r="K55" s="320"/>
      <c r="L55" s="320"/>
      <c r="M55" s="320"/>
      <c r="N55" s="320"/>
      <c r="O55" s="320"/>
      <c r="P55" s="320"/>
      <c r="Q55" s="320"/>
      <c r="R55" s="320"/>
    </row>
    <row r="56" spans="1:18" x14ac:dyDescent="0.25">
      <c r="C56" s="321"/>
      <c r="D56" s="322"/>
      <c r="E56" s="322"/>
      <c r="F56" s="322"/>
      <c r="G56" s="322"/>
      <c r="H56" s="322"/>
      <c r="I56" s="323"/>
      <c r="J56" s="322"/>
      <c r="K56" s="322"/>
      <c r="L56" s="322"/>
      <c r="M56" s="322"/>
      <c r="N56" s="322"/>
      <c r="O56" s="322"/>
      <c r="P56" s="322"/>
      <c r="Q56" s="323"/>
      <c r="R56" s="322"/>
    </row>
    <row r="57" spans="1:18" x14ac:dyDescent="0.25">
      <c r="C57" s="471">
        <f>SUM(C15:C52)</f>
        <v>12850</v>
      </c>
      <c r="D57" s="471">
        <f t="shared" ref="D57:R57" si="22">SUM(D15:D52)</f>
        <v>18167</v>
      </c>
      <c r="E57" s="471">
        <f t="shared" si="22"/>
        <v>5.2020436399999994</v>
      </c>
      <c r="F57" s="471">
        <f t="shared" si="22"/>
        <v>5.4399999999999995</v>
      </c>
      <c r="G57" s="471">
        <f t="shared" si="22"/>
        <v>50.271326670999997</v>
      </c>
      <c r="H57" s="471">
        <f t="shared" si="22"/>
        <v>6.5905086850000005</v>
      </c>
      <c r="I57" s="471">
        <f t="shared" si="22"/>
        <v>8</v>
      </c>
      <c r="J57" s="471">
        <f t="shared" si="22"/>
        <v>4</v>
      </c>
      <c r="K57" s="471">
        <f t="shared" si="22"/>
        <v>3</v>
      </c>
      <c r="L57" s="471">
        <f t="shared" si="22"/>
        <v>9</v>
      </c>
      <c r="M57" s="471">
        <f t="shared" si="22"/>
        <v>0</v>
      </c>
      <c r="N57" s="471">
        <f t="shared" si="22"/>
        <v>17</v>
      </c>
      <c r="O57" s="471">
        <f t="shared" si="22"/>
        <v>161</v>
      </c>
      <c r="P57" s="471">
        <f t="shared" si="22"/>
        <v>0.105590062</v>
      </c>
      <c r="Q57" s="471">
        <f t="shared" si="22"/>
        <v>6.5</v>
      </c>
      <c r="R57" s="471">
        <f t="shared" si="22"/>
        <v>0</v>
      </c>
    </row>
    <row r="58" spans="1:18" x14ac:dyDescent="0.25">
      <c r="C58" s="321"/>
      <c r="D58" s="321"/>
      <c r="E58" s="321"/>
      <c r="F58" s="321"/>
      <c r="G58" s="321"/>
      <c r="H58" s="321"/>
      <c r="I58" s="321"/>
      <c r="J58" s="321"/>
      <c r="K58" s="321"/>
      <c r="L58" s="321"/>
      <c r="M58" s="321"/>
      <c r="N58" s="321"/>
      <c r="O58" s="321"/>
      <c r="P58" s="321"/>
      <c r="Q58" s="321"/>
      <c r="R58" s="321"/>
    </row>
    <row r="59" spans="1:18" x14ac:dyDescent="0.25">
      <c r="C59" s="473">
        <v>12850</v>
      </c>
      <c r="D59" s="473">
        <v>18167</v>
      </c>
      <c r="E59" s="473">
        <v>5.2020439999999999</v>
      </c>
      <c r="F59" s="473">
        <v>5.44</v>
      </c>
      <c r="G59" s="473">
        <v>50.271326999999999</v>
      </c>
      <c r="H59" s="473">
        <v>6.590509</v>
      </c>
      <c r="I59" s="473">
        <v>8</v>
      </c>
      <c r="J59" s="473">
        <v>4</v>
      </c>
      <c r="K59" s="473">
        <v>3</v>
      </c>
      <c r="L59" s="473">
        <v>9</v>
      </c>
      <c r="M59" s="473">
        <v>0</v>
      </c>
      <c r="N59" s="473">
        <v>17</v>
      </c>
      <c r="O59" s="473">
        <v>161</v>
      </c>
      <c r="P59" s="473">
        <v>0.10559</v>
      </c>
      <c r="Q59" s="473">
        <v>6.5</v>
      </c>
      <c r="R59" s="473">
        <v>0</v>
      </c>
    </row>
    <row r="60" spans="1:18" x14ac:dyDescent="0.25">
      <c r="C60" s="472">
        <f>C59-C57</f>
        <v>0</v>
      </c>
      <c r="D60" s="472">
        <f t="shared" ref="D60:R60" si="23">D59-D57</f>
        <v>0</v>
      </c>
      <c r="E60" s="472">
        <f t="shared" si="23"/>
        <v>3.6000000047664571E-7</v>
      </c>
      <c r="F60" s="472">
        <f t="shared" si="23"/>
        <v>0</v>
      </c>
      <c r="G60" s="472">
        <f t="shared" si="23"/>
        <v>3.2900000235258631E-7</v>
      </c>
      <c r="H60" s="472">
        <f t="shared" si="23"/>
        <v>3.1499999941786427E-7</v>
      </c>
      <c r="I60" s="472">
        <f t="shared" si="23"/>
        <v>0</v>
      </c>
      <c r="J60" s="472">
        <f t="shared" si="23"/>
        <v>0</v>
      </c>
      <c r="K60" s="472">
        <f t="shared" si="23"/>
        <v>0</v>
      </c>
      <c r="L60" s="472">
        <f t="shared" si="23"/>
        <v>0</v>
      </c>
      <c r="M60" s="472">
        <f t="shared" si="23"/>
        <v>0</v>
      </c>
      <c r="N60" s="472">
        <f t="shared" si="23"/>
        <v>0</v>
      </c>
      <c r="O60" s="472">
        <f t="shared" si="23"/>
        <v>0</v>
      </c>
      <c r="P60" s="472">
        <f t="shared" si="23"/>
        <v>-6.1999999995121513E-8</v>
      </c>
      <c r="Q60" s="472">
        <f t="shared" si="23"/>
        <v>0</v>
      </c>
      <c r="R60" s="472">
        <f t="shared" si="23"/>
        <v>0</v>
      </c>
    </row>
    <row r="61" spans="1:18" ht="18.75" x14ac:dyDescent="0.3">
      <c r="I61" s="271"/>
      <c r="J61" s="271"/>
      <c r="K61" s="271"/>
      <c r="L61" s="273"/>
    </row>
    <row r="62" spans="1:18" ht="18.75" x14ac:dyDescent="0.3">
      <c r="I62" s="271"/>
      <c r="J62" s="271"/>
      <c r="K62" s="271"/>
      <c r="L62" s="271"/>
    </row>
  </sheetData>
  <autoFilter ref="A13:R55"/>
  <mergeCells count="28">
    <mergeCell ref="A6:R6"/>
    <mergeCell ref="A7:A12"/>
    <mergeCell ref="B7:B12"/>
    <mergeCell ref="C7:M7"/>
    <mergeCell ref="N7:R7"/>
    <mergeCell ref="C8:C10"/>
    <mergeCell ref="D8:D10"/>
    <mergeCell ref="E8:E10"/>
    <mergeCell ref="F8:F10"/>
    <mergeCell ref="G8:G10"/>
    <mergeCell ref="R8:R10"/>
    <mergeCell ref="C11:R11"/>
    <mergeCell ref="H8:H10"/>
    <mergeCell ref="I8:I10"/>
    <mergeCell ref="J8:J10"/>
    <mergeCell ref="K8:K10"/>
    <mergeCell ref="A54:P54"/>
    <mergeCell ref="N8:N10"/>
    <mergeCell ref="O8:O10"/>
    <mergeCell ref="P8:P10"/>
    <mergeCell ref="A53:R53"/>
    <mergeCell ref="Q8:Q10"/>
    <mergeCell ref="C14:R14"/>
    <mergeCell ref="C29:R29"/>
    <mergeCell ref="C36:R36"/>
    <mergeCell ref="C42:R42"/>
    <mergeCell ref="L8:L10"/>
    <mergeCell ref="M8:M10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62"/>
  <sheetViews>
    <sheetView view="pageBreakPreview" topLeftCell="A39" zoomScale="70" zoomScaleNormal="70" zoomScaleSheetLayoutView="70" workbookViewId="0">
      <selection activeCell="A54" sqref="A54:P54"/>
    </sheetView>
  </sheetViews>
  <sheetFormatPr defaultRowHeight="15" x14ac:dyDescent="0.25"/>
  <cols>
    <col min="1" max="1" width="9.42578125" style="240" customWidth="1"/>
    <col min="2" max="2" width="28.42578125" style="102" customWidth="1"/>
    <col min="3" max="3" width="16" style="241" customWidth="1"/>
    <col min="4" max="4" width="16.7109375" style="149" customWidth="1"/>
    <col min="5" max="5" width="24.28515625" style="149" customWidth="1"/>
    <col min="6" max="8" width="19.85546875" style="149" customWidth="1"/>
    <col min="9" max="9" width="19.85546875" style="274" customWidth="1"/>
    <col min="10" max="11" width="19.85546875" style="149" customWidth="1"/>
    <col min="12" max="12" width="18" style="149" customWidth="1"/>
    <col min="13" max="13" width="13.7109375" style="149" customWidth="1"/>
    <col min="14" max="14" width="16" style="149" customWidth="1"/>
    <col min="15" max="15" width="16.7109375" style="149" customWidth="1"/>
    <col min="16" max="16" width="24.28515625" style="149" customWidth="1"/>
    <col min="17" max="17" width="19.85546875" style="242" customWidth="1"/>
    <col min="18" max="18" width="13.140625" style="149" customWidth="1"/>
    <col min="19" max="19" width="9.140625" style="149"/>
    <col min="20" max="21" width="9.28515625" style="149" bestFit="1" customWidth="1"/>
    <col min="22" max="22" width="10.140625" style="149" bestFit="1" customWidth="1"/>
    <col min="23" max="16384" width="9.140625" style="149"/>
  </cols>
  <sheetData>
    <row r="1" spans="1:23" ht="16.5" x14ac:dyDescent="0.25">
      <c r="R1" s="88" t="s">
        <v>79</v>
      </c>
    </row>
    <row r="2" spans="1:23" ht="16.5" x14ac:dyDescent="0.25">
      <c r="R2" s="98" t="s">
        <v>78</v>
      </c>
    </row>
    <row r="3" spans="1:23" ht="16.5" x14ac:dyDescent="0.25">
      <c r="R3" s="98" t="str">
        <f>МОБ!$R$3</f>
        <v>№ 17-03 от 19.12.2024</v>
      </c>
    </row>
    <row r="5" spans="1:23" ht="15.75" x14ac:dyDescent="0.25">
      <c r="R5" s="99" t="s">
        <v>80</v>
      </c>
    </row>
    <row r="6" spans="1:23" ht="25.5" customHeight="1" thickBot="1" x14ac:dyDescent="0.3">
      <c r="A6" s="403" t="str">
        <f>СВОД!A1</f>
        <v xml:space="preserve">Мониторинг достижения значений показателей результативности деятельности за декабрь 2023 – ноябрь 2024 года </v>
      </c>
      <c r="B6" s="403"/>
      <c r="C6" s="403"/>
      <c r="D6" s="403"/>
      <c r="E6" s="403"/>
      <c r="F6" s="403"/>
      <c r="G6" s="403"/>
      <c r="H6" s="403"/>
      <c r="I6" s="403"/>
      <c r="J6" s="403"/>
      <c r="K6" s="403"/>
      <c r="L6" s="403"/>
      <c r="M6" s="403"/>
      <c r="N6" s="403"/>
      <c r="O6" s="403"/>
      <c r="P6" s="403"/>
      <c r="Q6" s="403"/>
      <c r="R6" s="403"/>
    </row>
    <row r="7" spans="1:23" s="243" customFormat="1" ht="21.75" customHeight="1" x14ac:dyDescent="0.25">
      <c r="A7" s="404" t="s">
        <v>55</v>
      </c>
      <c r="B7" s="407" t="s">
        <v>54</v>
      </c>
      <c r="C7" s="410" t="s">
        <v>52</v>
      </c>
      <c r="D7" s="410"/>
      <c r="E7" s="410"/>
      <c r="F7" s="410"/>
      <c r="G7" s="410"/>
      <c r="H7" s="410"/>
      <c r="I7" s="410"/>
      <c r="J7" s="410"/>
      <c r="K7" s="410"/>
      <c r="L7" s="410"/>
      <c r="M7" s="411"/>
      <c r="N7" s="412" t="s">
        <v>1</v>
      </c>
      <c r="O7" s="410"/>
      <c r="P7" s="410"/>
      <c r="Q7" s="410"/>
      <c r="R7" s="411"/>
    </row>
    <row r="8" spans="1:23" s="244" customFormat="1" ht="12" customHeight="1" x14ac:dyDescent="0.2">
      <c r="A8" s="405"/>
      <c r="B8" s="408"/>
      <c r="C8" s="413" t="s">
        <v>168</v>
      </c>
      <c r="D8" s="398" t="s">
        <v>169</v>
      </c>
      <c r="E8" s="398" t="s">
        <v>170</v>
      </c>
      <c r="F8" s="398" t="s">
        <v>171</v>
      </c>
      <c r="G8" s="398" t="s">
        <v>42</v>
      </c>
      <c r="H8" s="398" t="s">
        <v>43</v>
      </c>
      <c r="I8" s="418" t="s">
        <v>31</v>
      </c>
      <c r="J8" s="398" t="s">
        <v>29</v>
      </c>
      <c r="K8" s="398" t="s">
        <v>30</v>
      </c>
      <c r="L8" s="398" t="s">
        <v>32</v>
      </c>
      <c r="M8" s="402" t="s">
        <v>0</v>
      </c>
      <c r="N8" s="397" t="s">
        <v>168</v>
      </c>
      <c r="O8" s="398" t="s">
        <v>169</v>
      </c>
      <c r="P8" s="398" t="s">
        <v>170</v>
      </c>
      <c r="Q8" s="399" t="s">
        <v>31</v>
      </c>
      <c r="R8" s="402" t="s">
        <v>0</v>
      </c>
    </row>
    <row r="9" spans="1:23" s="244" customFormat="1" ht="12" customHeight="1" x14ac:dyDescent="0.2">
      <c r="A9" s="405"/>
      <c r="B9" s="408"/>
      <c r="C9" s="413"/>
      <c r="D9" s="398"/>
      <c r="E9" s="398"/>
      <c r="F9" s="398"/>
      <c r="G9" s="398"/>
      <c r="H9" s="398"/>
      <c r="I9" s="418"/>
      <c r="J9" s="398"/>
      <c r="K9" s="398"/>
      <c r="L9" s="398"/>
      <c r="M9" s="402"/>
      <c r="N9" s="397"/>
      <c r="O9" s="398"/>
      <c r="P9" s="398"/>
      <c r="Q9" s="399"/>
      <c r="R9" s="402"/>
    </row>
    <row r="10" spans="1:23" s="244" customFormat="1" ht="64.5" customHeight="1" x14ac:dyDescent="0.2">
      <c r="A10" s="405"/>
      <c r="B10" s="408"/>
      <c r="C10" s="413"/>
      <c r="D10" s="398"/>
      <c r="E10" s="398"/>
      <c r="F10" s="398"/>
      <c r="G10" s="398"/>
      <c r="H10" s="398"/>
      <c r="I10" s="418"/>
      <c r="J10" s="398"/>
      <c r="K10" s="398"/>
      <c r="L10" s="398"/>
      <c r="M10" s="402"/>
      <c r="N10" s="397"/>
      <c r="O10" s="398"/>
      <c r="P10" s="398"/>
      <c r="Q10" s="399"/>
      <c r="R10" s="402"/>
    </row>
    <row r="11" spans="1:23" s="244" customFormat="1" ht="15" customHeight="1" x14ac:dyDescent="0.2">
      <c r="A11" s="405"/>
      <c r="B11" s="408"/>
      <c r="C11" s="414" t="s">
        <v>27</v>
      </c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414"/>
      <c r="Q11" s="414"/>
      <c r="R11" s="415"/>
    </row>
    <row r="12" spans="1:23" s="244" customFormat="1" ht="207.75" customHeight="1" x14ac:dyDescent="0.2">
      <c r="A12" s="406"/>
      <c r="B12" s="409"/>
      <c r="C12" s="245" t="s">
        <v>47</v>
      </c>
      <c r="D12" s="246" t="s">
        <v>47</v>
      </c>
      <c r="E12" s="246" t="s">
        <v>172</v>
      </c>
      <c r="F12" s="246" t="s">
        <v>173</v>
      </c>
      <c r="G12" s="246" t="s">
        <v>174</v>
      </c>
      <c r="H12" s="246" t="s">
        <v>175</v>
      </c>
      <c r="I12" s="275" t="s">
        <v>50</v>
      </c>
      <c r="J12" s="246" t="s">
        <v>44</v>
      </c>
      <c r="K12" s="246" t="s">
        <v>44</v>
      </c>
      <c r="L12" s="248" t="s">
        <v>176</v>
      </c>
      <c r="M12" s="249"/>
      <c r="N12" s="250" t="s">
        <v>47</v>
      </c>
      <c r="O12" s="246" t="s">
        <v>47</v>
      </c>
      <c r="P12" s="246" t="s">
        <v>177</v>
      </c>
      <c r="Q12" s="251" t="s">
        <v>45</v>
      </c>
      <c r="R12" s="249"/>
    </row>
    <row r="13" spans="1:23" s="255" customFormat="1" ht="14.25" x14ac:dyDescent="0.2">
      <c r="A13" s="103">
        <v>1</v>
      </c>
      <c r="B13" s="103">
        <v>2</v>
      </c>
      <c r="C13" s="252">
        <v>3</v>
      </c>
      <c r="D13" s="103">
        <v>4</v>
      </c>
      <c r="E13" s="252">
        <v>5</v>
      </c>
      <c r="F13" s="103">
        <v>6</v>
      </c>
      <c r="G13" s="252">
        <v>7</v>
      </c>
      <c r="H13" s="103">
        <v>8</v>
      </c>
      <c r="I13" s="276">
        <v>9</v>
      </c>
      <c r="J13" s="103">
        <v>10</v>
      </c>
      <c r="K13" s="252">
        <v>11</v>
      </c>
      <c r="L13" s="103">
        <v>12</v>
      </c>
      <c r="M13" s="252">
        <v>13</v>
      </c>
      <c r="N13" s="103">
        <v>14</v>
      </c>
      <c r="O13" s="252">
        <v>15</v>
      </c>
      <c r="P13" s="103">
        <v>16</v>
      </c>
      <c r="Q13" s="254">
        <v>17</v>
      </c>
      <c r="R13" s="103">
        <v>18</v>
      </c>
    </row>
    <row r="14" spans="1:23" ht="15" customHeight="1" x14ac:dyDescent="0.25">
      <c r="A14" s="174"/>
      <c r="B14" s="104"/>
      <c r="C14" s="377" t="s">
        <v>56</v>
      </c>
      <c r="D14" s="377"/>
      <c r="E14" s="377"/>
      <c r="F14" s="377"/>
      <c r="G14" s="377"/>
      <c r="H14" s="377"/>
      <c r="I14" s="377"/>
      <c r="J14" s="377"/>
      <c r="K14" s="377"/>
      <c r="L14" s="377"/>
      <c r="M14" s="377"/>
      <c r="N14" s="377"/>
      <c r="O14" s="377"/>
      <c r="P14" s="377"/>
      <c r="Q14" s="377"/>
      <c r="R14" s="378"/>
    </row>
    <row r="15" spans="1:23" s="260" customFormat="1" ht="63.75" x14ac:dyDescent="0.25">
      <c r="A15" s="192">
        <v>1</v>
      </c>
      <c r="B15" s="105" t="s">
        <v>2</v>
      </c>
      <c r="C15" s="227">
        <v>31006</v>
      </c>
      <c r="D15" s="228">
        <v>298860</v>
      </c>
      <c r="E15" s="231">
        <v>0.103747574</v>
      </c>
      <c r="F15" s="277" t="s">
        <v>28</v>
      </c>
      <c r="G15" s="231">
        <v>-1.7004895950000001</v>
      </c>
      <c r="H15" s="277" t="s">
        <v>28</v>
      </c>
      <c r="I15" s="278">
        <v>0</v>
      </c>
      <c r="J15" s="230">
        <v>0</v>
      </c>
      <c r="K15" s="230">
        <v>0</v>
      </c>
      <c r="L15" s="230">
        <v>1</v>
      </c>
      <c r="M15" s="233"/>
      <c r="N15" s="227">
        <v>22665</v>
      </c>
      <c r="O15" s="228">
        <v>214748</v>
      </c>
      <c r="P15" s="231">
        <v>0.10554231</v>
      </c>
      <c r="Q15" s="197">
        <v>1</v>
      </c>
      <c r="R15" s="233"/>
      <c r="T15" s="261">
        <f t="shared" ref="T15:T28" si="0">IF(L15&gt;0,1)</f>
        <v>1</v>
      </c>
      <c r="U15" s="261" t="b">
        <f t="shared" ref="U15:U28" si="1">IF(I15&gt;0,1)</f>
        <v>0</v>
      </c>
      <c r="V15" s="261"/>
      <c r="W15" s="261"/>
    </row>
    <row r="16" spans="1:23" ht="135" customHeight="1" x14ac:dyDescent="0.25">
      <c r="A16" s="201">
        <v>2</v>
      </c>
      <c r="B16" s="106" t="s">
        <v>3</v>
      </c>
      <c r="C16" s="279">
        <v>252</v>
      </c>
      <c r="D16" s="280">
        <v>1147</v>
      </c>
      <c r="E16" s="281">
        <v>0.21970357500000001</v>
      </c>
      <c r="F16" s="282" t="s">
        <v>28</v>
      </c>
      <c r="G16" s="283">
        <v>-33.940479205000003</v>
      </c>
      <c r="H16" s="282" t="s">
        <v>28</v>
      </c>
      <c r="I16" s="284">
        <v>0</v>
      </c>
      <c r="J16" s="280">
        <v>0</v>
      </c>
      <c r="K16" s="280">
        <v>0</v>
      </c>
      <c r="L16" s="280">
        <v>1</v>
      </c>
      <c r="M16" s="285"/>
      <c r="N16" s="279">
        <v>444</v>
      </c>
      <c r="O16" s="280">
        <v>1335</v>
      </c>
      <c r="P16" s="283">
        <v>0.33258427000000002</v>
      </c>
      <c r="Q16" s="286">
        <v>0</v>
      </c>
      <c r="R16" s="285"/>
      <c r="T16" s="261">
        <f t="shared" si="0"/>
        <v>1</v>
      </c>
      <c r="U16" s="261" t="b">
        <f t="shared" si="1"/>
        <v>0</v>
      </c>
    </row>
    <row r="17" spans="1:21" ht="133.5" customHeight="1" x14ac:dyDescent="0.25">
      <c r="A17" s="201">
        <v>3</v>
      </c>
      <c r="B17" s="106" t="s">
        <v>4</v>
      </c>
      <c r="C17" s="279">
        <v>2</v>
      </c>
      <c r="D17" s="280">
        <v>180</v>
      </c>
      <c r="E17" s="287">
        <v>1.1111111E-2</v>
      </c>
      <c r="F17" s="280" t="s">
        <v>28</v>
      </c>
      <c r="G17" s="319">
        <v>5.5555523889999998</v>
      </c>
      <c r="H17" s="280" t="s">
        <v>28</v>
      </c>
      <c r="I17" s="288">
        <v>0.5</v>
      </c>
      <c r="J17" s="280">
        <v>1</v>
      </c>
      <c r="K17" s="280">
        <v>0</v>
      </c>
      <c r="L17" s="289">
        <v>1</v>
      </c>
      <c r="M17" s="285"/>
      <c r="N17" s="279">
        <v>2</v>
      </c>
      <c r="O17" s="280">
        <v>190</v>
      </c>
      <c r="P17" s="283">
        <v>1.0526316000000001E-2</v>
      </c>
      <c r="Q17" s="286">
        <v>0</v>
      </c>
      <c r="R17" s="285"/>
      <c r="T17" s="261">
        <f t="shared" si="0"/>
        <v>1</v>
      </c>
      <c r="U17" s="261">
        <f t="shared" si="1"/>
        <v>1</v>
      </c>
    </row>
    <row r="18" spans="1:21" ht="153" x14ac:dyDescent="0.25">
      <c r="A18" s="201">
        <v>4</v>
      </c>
      <c r="B18" s="106" t="s">
        <v>5</v>
      </c>
      <c r="C18" s="279">
        <v>4</v>
      </c>
      <c r="D18" s="280">
        <v>39</v>
      </c>
      <c r="E18" s="287">
        <v>0.102564103</v>
      </c>
      <c r="F18" s="280" t="s">
        <v>28</v>
      </c>
      <c r="G18" s="283">
        <v>-55.555555411</v>
      </c>
      <c r="H18" s="280" t="s">
        <v>28</v>
      </c>
      <c r="I18" s="288">
        <v>0</v>
      </c>
      <c r="J18" s="280">
        <v>0</v>
      </c>
      <c r="K18" s="280">
        <v>0</v>
      </c>
      <c r="L18" s="280">
        <v>1</v>
      </c>
      <c r="M18" s="285"/>
      <c r="N18" s="279">
        <v>12</v>
      </c>
      <c r="O18" s="280">
        <v>52</v>
      </c>
      <c r="P18" s="283">
        <v>0.23076923099999999</v>
      </c>
      <c r="Q18" s="286">
        <v>0</v>
      </c>
      <c r="R18" s="285"/>
      <c r="T18" s="261">
        <f t="shared" si="0"/>
        <v>1</v>
      </c>
      <c r="U18" s="261" t="b">
        <f t="shared" si="1"/>
        <v>0</v>
      </c>
    </row>
    <row r="19" spans="1:21" ht="134.25" customHeight="1" x14ac:dyDescent="0.25">
      <c r="A19" s="201">
        <v>5</v>
      </c>
      <c r="B19" s="106" t="s">
        <v>6</v>
      </c>
      <c r="C19" s="279">
        <v>67</v>
      </c>
      <c r="D19" s="280">
        <v>321</v>
      </c>
      <c r="E19" s="287">
        <v>0.20872274099999999</v>
      </c>
      <c r="F19" s="280" t="s">
        <v>28</v>
      </c>
      <c r="G19" s="283">
        <v>-39.928576960000001</v>
      </c>
      <c r="H19" s="280" t="s">
        <v>28</v>
      </c>
      <c r="I19" s="288">
        <v>0</v>
      </c>
      <c r="J19" s="280">
        <v>0</v>
      </c>
      <c r="K19" s="280">
        <v>0</v>
      </c>
      <c r="L19" s="280">
        <v>1</v>
      </c>
      <c r="M19" s="285"/>
      <c r="N19" s="279">
        <v>82</v>
      </c>
      <c r="O19" s="280">
        <v>236</v>
      </c>
      <c r="P19" s="283">
        <v>0.34745762699999999</v>
      </c>
      <c r="Q19" s="288">
        <v>0</v>
      </c>
      <c r="R19" s="285"/>
      <c r="T19" s="261">
        <f t="shared" si="0"/>
        <v>1</v>
      </c>
      <c r="U19" s="261" t="b">
        <f t="shared" si="1"/>
        <v>0</v>
      </c>
    </row>
    <row r="20" spans="1:21" s="264" customFormat="1" ht="76.5" x14ac:dyDescent="0.25">
      <c r="A20" s="214">
        <v>6</v>
      </c>
      <c r="B20" s="107" t="s">
        <v>7</v>
      </c>
      <c r="C20" s="290">
        <v>1000</v>
      </c>
      <c r="D20" s="291">
        <v>1000</v>
      </c>
      <c r="E20" s="292">
        <v>1</v>
      </c>
      <c r="F20" s="291">
        <v>0.95</v>
      </c>
      <c r="G20" s="291" t="s">
        <v>28</v>
      </c>
      <c r="H20" s="293">
        <v>1.052631579</v>
      </c>
      <c r="I20" s="294">
        <v>2</v>
      </c>
      <c r="J20" s="291">
        <v>1</v>
      </c>
      <c r="K20" s="291">
        <v>0</v>
      </c>
      <c r="L20" s="291">
        <v>1</v>
      </c>
      <c r="M20" s="295"/>
      <c r="N20" s="291" t="s">
        <v>28</v>
      </c>
      <c r="O20" s="291" t="s">
        <v>28</v>
      </c>
      <c r="P20" s="291" t="s">
        <v>28</v>
      </c>
      <c r="Q20" s="318">
        <v>2</v>
      </c>
      <c r="R20" s="295"/>
      <c r="T20" s="261">
        <f t="shared" si="0"/>
        <v>1</v>
      </c>
      <c r="U20" s="261">
        <f t="shared" si="1"/>
        <v>1</v>
      </c>
    </row>
    <row r="21" spans="1:21" ht="108.75" customHeight="1" x14ac:dyDescent="0.25">
      <c r="A21" s="201">
        <v>7</v>
      </c>
      <c r="B21" s="106" t="s">
        <v>8</v>
      </c>
      <c r="C21" s="279">
        <v>8428</v>
      </c>
      <c r="D21" s="280">
        <v>11875</v>
      </c>
      <c r="E21" s="287">
        <v>0.70972631600000002</v>
      </c>
      <c r="F21" s="280" t="s">
        <v>28</v>
      </c>
      <c r="G21" s="283">
        <v>15.140872652000001</v>
      </c>
      <c r="H21" s="280" t="s">
        <v>28</v>
      </c>
      <c r="I21" s="296">
        <v>2</v>
      </c>
      <c r="J21" s="280">
        <v>1</v>
      </c>
      <c r="K21" s="280">
        <v>0</v>
      </c>
      <c r="L21" s="280">
        <v>1</v>
      </c>
      <c r="M21" s="285"/>
      <c r="N21" s="279">
        <v>5894</v>
      </c>
      <c r="O21" s="280">
        <v>9562</v>
      </c>
      <c r="P21" s="283">
        <v>0.61639824300000001</v>
      </c>
      <c r="Q21" s="286">
        <v>2</v>
      </c>
      <c r="R21" s="285"/>
      <c r="T21" s="261">
        <f t="shared" si="0"/>
        <v>1</v>
      </c>
      <c r="U21" s="261">
        <f t="shared" si="1"/>
        <v>1</v>
      </c>
    </row>
    <row r="22" spans="1:21" ht="165.75" x14ac:dyDescent="0.25">
      <c r="A22" s="201">
        <v>8</v>
      </c>
      <c r="B22" s="106" t="s">
        <v>15</v>
      </c>
      <c r="C22" s="279">
        <v>4152</v>
      </c>
      <c r="D22" s="280">
        <v>11875</v>
      </c>
      <c r="E22" s="287">
        <v>0.34964210499999998</v>
      </c>
      <c r="F22" s="280" t="s">
        <v>28</v>
      </c>
      <c r="G22" s="283">
        <v>-21.812960522000001</v>
      </c>
      <c r="H22" s="280" t="s">
        <v>28</v>
      </c>
      <c r="I22" s="296">
        <v>1</v>
      </c>
      <c r="J22" s="280">
        <v>1</v>
      </c>
      <c r="K22" s="280">
        <v>0</v>
      </c>
      <c r="L22" s="280">
        <v>1</v>
      </c>
      <c r="M22" s="285"/>
      <c r="N22" s="279">
        <v>4276</v>
      </c>
      <c r="O22" s="280">
        <v>9562</v>
      </c>
      <c r="P22" s="283">
        <v>0.44718678099999998</v>
      </c>
      <c r="Q22" s="317">
        <v>1</v>
      </c>
      <c r="R22" s="285"/>
      <c r="T22" s="261">
        <f t="shared" si="0"/>
        <v>1</v>
      </c>
      <c r="U22" s="261">
        <f t="shared" si="1"/>
        <v>1</v>
      </c>
    </row>
    <row r="23" spans="1:21" ht="114.75" x14ac:dyDescent="0.25">
      <c r="A23" s="201">
        <v>9</v>
      </c>
      <c r="B23" s="106" t="s">
        <v>14</v>
      </c>
      <c r="C23" s="279">
        <v>376</v>
      </c>
      <c r="D23" s="280">
        <v>1147</v>
      </c>
      <c r="E23" s="287">
        <v>0.32781168300000002</v>
      </c>
      <c r="F23" s="280">
        <v>0.8</v>
      </c>
      <c r="G23" s="280" t="s">
        <v>28</v>
      </c>
      <c r="H23" s="283">
        <v>0.40976460399999998</v>
      </c>
      <c r="I23" s="296">
        <v>0.5</v>
      </c>
      <c r="J23" s="280" t="s">
        <v>28</v>
      </c>
      <c r="K23" s="280">
        <v>1</v>
      </c>
      <c r="L23" s="280">
        <v>1</v>
      </c>
      <c r="M23" s="285"/>
      <c r="N23" s="280" t="s">
        <v>28</v>
      </c>
      <c r="O23" s="280" t="s">
        <v>28</v>
      </c>
      <c r="P23" s="280" t="s">
        <v>28</v>
      </c>
      <c r="Q23" s="296">
        <v>0.5</v>
      </c>
      <c r="R23" s="285"/>
      <c r="T23" s="261">
        <f t="shared" si="0"/>
        <v>1</v>
      </c>
      <c r="U23" s="261">
        <f t="shared" si="1"/>
        <v>1</v>
      </c>
    </row>
    <row r="24" spans="1:21" ht="140.25" x14ac:dyDescent="0.25">
      <c r="A24" s="201">
        <v>10</v>
      </c>
      <c r="B24" s="106" t="s">
        <v>13</v>
      </c>
      <c r="C24" s="297">
        <v>12</v>
      </c>
      <c r="D24" s="289">
        <v>39</v>
      </c>
      <c r="E24" s="287">
        <v>0.30769230800000003</v>
      </c>
      <c r="F24" s="280">
        <v>0.8</v>
      </c>
      <c r="G24" s="280" t="s">
        <v>28</v>
      </c>
      <c r="H24" s="283">
        <v>0.38461538499999998</v>
      </c>
      <c r="I24" s="288">
        <v>0.5</v>
      </c>
      <c r="J24" s="280" t="s">
        <v>28</v>
      </c>
      <c r="K24" s="280">
        <v>1</v>
      </c>
      <c r="L24" s="280">
        <v>1</v>
      </c>
      <c r="M24" s="285"/>
      <c r="N24" s="280" t="s">
        <v>28</v>
      </c>
      <c r="O24" s="280" t="s">
        <v>28</v>
      </c>
      <c r="P24" s="280" t="s">
        <v>28</v>
      </c>
      <c r="Q24" s="317">
        <v>0.5</v>
      </c>
      <c r="R24" s="285"/>
      <c r="T24" s="261">
        <f t="shared" si="0"/>
        <v>1</v>
      </c>
      <c r="U24" s="261">
        <f t="shared" si="1"/>
        <v>1</v>
      </c>
    </row>
    <row r="25" spans="1:21" ht="120" customHeight="1" x14ac:dyDescent="0.25">
      <c r="A25" s="201">
        <v>11</v>
      </c>
      <c r="B25" s="106" t="s">
        <v>12</v>
      </c>
      <c r="C25" s="297">
        <v>270</v>
      </c>
      <c r="D25" s="289">
        <v>321</v>
      </c>
      <c r="E25" s="287">
        <v>0.841121495</v>
      </c>
      <c r="F25" s="280">
        <v>0.8</v>
      </c>
      <c r="G25" s="280" t="s">
        <v>28</v>
      </c>
      <c r="H25" s="283">
        <v>1.051401869</v>
      </c>
      <c r="I25" s="296">
        <v>2</v>
      </c>
      <c r="J25" s="280">
        <v>1</v>
      </c>
      <c r="K25" s="280">
        <v>0</v>
      </c>
      <c r="L25" s="280">
        <v>1</v>
      </c>
      <c r="M25" s="285"/>
      <c r="N25" s="280" t="s">
        <v>28</v>
      </c>
      <c r="O25" s="280" t="s">
        <v>28</v>
      </c>
      <c r="P25" s="280" t="s">
        <v>28</v>
      </c>
      <c r="Q25" s="286">
        <v>2</v>
      </c>
      <c r="R25" s="285"/>
      <c r="T25" s="261">
        <f t="shared" si="0"/>
        <v>1</v>
      </c>
      <c r="U25" s="261">
        <f t="shared" si="1"/>
        <v>1</v>
      </c>
    </row>
    <row r="26" spans="1:21" ht="146.25" customHeight="1" x14ac:dyDescent="0.25">
      <c r="A26" s="201">
        <v>12</v>
      </c>
      <c r="B26" s="106" t="s">
        <v>11</v>
      </c>
      <c r="C26" s="279">
        <v>273</v>
      </c>
      <c r="D26" s="280">
        <v>30732</v>
      </c>
      <c r="E26" s="287">
        <v>8.8832489999999993E-3</v>
      </c>
      <c r="F26" s="280" t="s">
        <v>28</v>
      </c>
      <c r="G26" s="283">
        <v>7.4803136739999996</v>
      </c>
      <c r="H26" s="280" t="s">
        <v>28</v>
      </c>
      <c r="I26" s="288">
        <v>0</v>
      </c>
      <c r="J26" s="280">
        <v>0</v>
      </c>
      <c r="K26" s="280">
        <v>0</v>
      </c>
      <c r="L26" s="280">
        <v>1</v>
      </c>
      <c r="M26" s="285"/>
      <c r="N26" s="279">
        <v>254</v>
      </c>
      <c r="O26" s="280">
        <v>30732</v>
      </c>
      <c r="P26" s="283">
        <v>8.2650009999999993E-3</v>
      </c>
      <c r="Q26" s="288">
        <v>0</v>
      </c>
      <c r="R26" s="285"/>
      <c r="T26" s="261">
        <f t="shared" si="0"/>
        <v>1</v>
      </c>
      <c r="U26" s="261" t="b">
        <f t="shared" si="1"/>
        <v>0</v>
      </c>
    </row>
    <row r="27" spans="1:21" ht="155.25" customHeight="1" x14ac:dyDescent="0.25">
      <c r="A27" s="201">
        <v>13</v>
      </c>
      <c r="B27" s="106" t="s">
        <v>10</v>
      </c>
      <c r="C27" s="279">
        <v>553</v>
      </c>
      <c r="D27" s="280">
        <v>1202</v>
      </c>
      <c r="E27" s="287">
        <v>0.46006655600000002</v>
      </c>
      <c r="F27" s="280" t="s">
        <v>28</v>
      </c>
      <c r="G27" s="283">
        <v>-12.833419167000001</v>
      </c>
      <c r="H27" s="280" t="s">
        <v>28</v>
      </c>
      <c r="I27" s="296">
        <v>2</v>
      </c>
      <c r="J27" s="289">
        <v>1</v>
      </c>
      <c r="K27" s="289">
        <v>0</v>
      </c>
      <c r="L27" s="280">
        <v>1</v>
      </c>
      <c r="M27" s="285"/>
      <c r="N27" s="279">
        <v>617</v>
      </c>
      <c r="O27" s="280">
        <v>1169</v>
      </c>
      <c r="P27" s="283">
        <v>0.52780154000000001</v>
      </c>
      <c r="Q27" s="288">
        <v>0</v>
      </c>
      <c r="R27" s="285"/>
      <c r="T27" s="261">
        <f t="shared" si="0"/>
        <v>1</v>
      </c>
      <c r="U27" s="261">
        <f t="shared" si="1"/>
        <v>1</v>
      </c>
    </row>
    <row r="28" spans="1:21" ht="148.5" customHeight="1" x14ac:dyDescent="0.25">
      <c r="A28" s="201">
        <v>14</v>
      </c>
      <c r="B28" s="100" t="s">
        <v>9</v>
      </c>
      <c r="C28" s="279">
        <v>522</v>
      </c>
      <c r="D28" s="280">
        <v>2670</v>
      </c>
      <c r="E28" s="287">
        <v>0.19550561799999999</v>
      </c>
      <c r="F28" s="280" t="s">
        <v>28</v>
      </c>
      <c r="G28" s="283">
        <v>-2.81980151</v>
      </c>
      <c r="H28" s="280" t="s">
        <v>28</v>
      </c>
      <c r="I28" s="296">
        <v>1</v>
      </c>
      <c r="J28" s="280">
        <v>0</v>
      </c>
      <c r="K28" s="289">
        <v>1</v>
      </c>
      <c r="L28" s="280">
        <v>1</v>
      </c>
      <c r="M28" s="285"/>
      <c r="N28" s="297">
        <v>478</v>
      </c>
      <c r="O28" s="289">
        <v>2376</v>
      </c>
      <c r="P28" s="283">
        <v>0.20117845100000001</v>
      </c>
      <c r="Q28" s="288">
        <v>1</v>
      </c>
      <c r="R28" s="285"/>
      <c r="T28" s="261">
        <f t="shared" si="0"/>
        <v>1</v>
      </c>
      <c r="U28" s="261">
        <f t="shared" si="1"/>
        <v>1</v>
      </c>
    </row>
    <row r="29" spans="1:21" ht="18.75" x14ac:dyDescent="0.25">
      <c r="A29" s="219"/>
      <c r="B29" s="108"/>
      <c r="C29" s="416" t="s">
        <v>57</v>
      </c>
      <c r="D29" s="416"/>
      <c r="E29" s="416"/>
      <c r="F29" s="416"/>
      <c r="G29" s="416"/>
      <c r="H29" s="416"/>
      <c r="I29" s="416"/>
      <c r="J29" s="416"/>
      <c r="K29" s="416"/>
      <c r="L29" s="416"/>
      <c r="M29" s="416"/>
      <c r="N29" s="416"/>
      <c r="O29" s="416"/>
      <c r="P29" s="416"/>
      <c r="Q29" s="416"/>
      <c r="R29" s="417"/>
      <c r="T29" s="261"/>
      <c r="U29" s="261"/>
    </row>
    <row r="30" spans="1:21" s="264" customFormat="1" ht="38.25" x14ac:dyDescent="0.25">
      <c r="A30" s="214">
        <v>15</v>
      </c>
      <c r="B30" s="101" t="s">
        <v>16</v>
      </c>
      <c r="C30" s="290"/>
      <c r="D30" s="291"/>
      <c r="E30" s="293">
        <f t="shared" ref="E30:E35" si="2">IFERROR(ROUND(C30/D30,9),0)</f>
        <v>0</v>
      </c>
      <c r="F30" s="291"/>
      <c r="G30" s="291" t="s">
        <v>28</v>
      </c>
      <c r="H30" s="291"/>
      <c r="I30" s="298"/>
      <c r="J30" s="291" t="s">
        <v>28</v>
      </c>
      <c r="K30" s="291"/>
      <c r="L30" s="291">
        <v>0</v>
      </c>
      <c r="M30" s="295"/>
      <c r="N30" s="291" t="s">
        <v>28</v>
      </c>
      <c r="O30" s="291" t="s">
        <v>28</v>
      </c>
      <c r="P30" s="291" t="s">
        <v>28</v>
      </c>
      <c r="Q30" s="291" t="s">
        <v>28</v>
      </c>
      <c r="R30" s="295"/>
      <c r="T30" s="261" t="b">
        <f>IF(L30&gt;0,1)</f>
        <v>0</v>
      </c>
      <c r="U30" s="261" t="b">
        <f>IF(I30&gt;0,1)</f>
        <v>0</v>
      </c>
    </row>
    <row r="31" spans="1:21" ht="140.25" x14ac:dyDescent="0.25">
      <c r="A31" s="201">
        <v>16</v>
      </c>
      <c r="B31" s="100" t="s">
        <v>17</v>
      </c>
      <c r="C31" s="279"/>
      <c r="D31" s="280"/>
      <c r="E31" s="287">
        <f t="shared" si="2"/>
        <v>0</v>
      </c>
      <c r="F31" s="280">
        <v>0</v>
      </c>
      <c r="G31" s="280" t="s">
        <v>28</v>
      </c>
      <c r="H31" s="283">
        <f t="shared" ref="H31:H35" si="3">IFERROR(ROUND(E31/F31,9),0)</f>
        <v>0</v>
      </c>
      <c r="I31" s="299"/>
      <c r="J31" s="280" t="s">
        <v>28</v>
      </c>
      <c r="K31" s="280"/>
      <c r="L31" s="280">
        <v>0</v>
      </c>
      <c r="M31" s="285"/>
      <c r="N31" s="280" t="s">
        <v>28</v>
      </c>
      <c r="O31" s="280" t="s">
        <v>28</v>
      </c>
      <c r="P31" s="280" t="s">
        <v>28</v>
      </c>
      <c r="Q31" s="280" t="s">
        <v>28</v>
      </c>
      <c r="R31" s="285"/>
      <c r="T31" s="261" t="b">
        <f t="shared" ref="T31:T32" si="4">IF(L31&gt;0,1)</f>
        <v>0</v>
      </c>
      <c r="U31" s="261" t="b">
        <f t="shared" ref="U31:U32" si="5">IF(I31&gt;0,1)</f>
        <v>0</v>
      </c>
    </row>
    <row r="32" spans="1:21" ht="140.25" x14ac:dyDescent="0.25">
      <c r="A32" s="201">
        <v>17</v>
      </c>
      <c r="B32" s="100" t="s">
        <v>18</v>
      </c>
      <c r="C32" s="279"/>
      <c r="D32" s="280"/>
      <c r="E32" s="287">
        <f t="shared" si="2"/>
        <v>0</v>
      </c>
      <c r="F32" s="280">
        <v>0</v>
      </c>
      <c r="G32" s="280" t="s">
        <v>28</v>
      </c>
      <c r="H32" s="283">
        <f t="shared" si="3"/>
        <v>0</v>
      </c>
      <c r="I32" s="299"/>
      <c r="J32" s="280" t="s">
        <v>28</v>
      </c>
      <c r="K32" s="280"/>
      <c r="L32" s="280">
        <v>0</v>
      </c>
      <c r="M32" s="285"/>
      <c r="N32" s="280" t="s">
        <v>28</v>
      </c>
      <c r="O32" s="280" t="s">
        <v>28</v>
      </c>
      <c r="P32" s="280" t="s">
        <v>28</v>
      </c>
      <c r="Q32" s="280" t="s">
        <v>28</v>
      </c>
      <c r="R32" s="285"/>
      <c r="T32" s="261" t="b">
        <f t="shared" si="4"/>
        <v>0</v>
      </c>
      <c r="U32" s="261" t="b">
        <f t="shared" si="5"/>
        <v>0</v>
      </c>
    </row>
    <row r="33" spans="1:22" ht="114.75" x14ac:dyDescent="0.25">
      <c r="A33" s="201">
        <v>18</v>
      </c>
      <c r="B33" s="100" t="s">
        <v>19</v>
      </c>
      <c r="C33" s="279"/>
      <c r="D33" s="280"/>
      <c r="E33" s="287">
        <f t="shared" si="2"/>
        <v>0</v>
      </c>
      <c r="F33" s="280">
        <v>0</v>
      </c>
      <c r="G33" s="280" t="s">
        <v>28</v>
      </c>
      <c r="H33" s="283">
        <f t="shared" si="3"/>
        <v>0</v>
      </c>
      <c r="I33" s="299"/>
      <c r="J33" s="280" t="s">
        <v>28</v>
      </c>
      <c r="K33" s="280"/>
      <c r="L33" s="280">
        <v>0</v>
      </c>
      <c r="M33" s="285"/>
      <c r="N33" s="280" t="s">
        <v>28</v>
      </c>
      <c r="O33" s="280" t="s">
        <v>28</v>
      </c>
      <c r="P33" s="280" t="s">
        <v>28</v>
      </c>
      <c r="Q33" s="280" t="s">
        <v>28</v>
      </c>
      <c r="R33" s="285"/>
      <c r="T33" s="261" t="b">
        <f>IF(L33&gt;0,1)</f>
        <v>0</v>
      </c>
      <c r="U33" s="261" t="b">
        <f>IF(I33&gt;0,1)</f>
        <v>0</v>
      </c>
    </row>
    <row r="34" spans="1:22" ht="114.75" x14ac:dyDescent="0.25">
      <c r="A34" s="201">
        <v>19</v>
      </c>
      <c r="B34" s="100" t="s">
        <v>20</v>
      </c>
      <c r="C34" s="279"/>
      <c r="D34" s="280"/>
      <c r="E34" s="287">
        <f t="shared" si="2"/>
        <v>0</v>
      </c>
      <c r="F34" s="280">
        <v>0</v>
      </c>
      <c r="G34" s="280" t="s">
        <v>28</v>
      </c>
      <c r="H34" s="283">
        <f t="shared" si="3"/>
        <v>0</v>
      </c>
      <c r="I34" s="299"/>
      <c r="J34" s="280" t="s">
        <v>28</v>
      </c>
      <c r="K34" s="280"/>
      <c r="L34" s="280">
        <v>0</v>
      </c>
      <c r="M34" s="285"/>
      <c r="N34" s="280" t="s">
        <v>28</v>
      </c>
      <c r="O34" s="280" t="s">
        <v>28</v>
      </c>
      <c r="P34" s="280" t="s">
        <v>28</v>
      </c>
      <c r="Q34" s="280" t="s">
        <v>28</v>
      </c>
      <c r="R34" s="285"/>
      <c r="T34" s="261" t="b">
        <f t="shared" ref="T34:T35" si="6">IF(L34&gt;0,1)</f>
        <v>0</v>
      </c>
      <c r="U34" s="261" t="b">
        <f t="shared" ref="U34:U35" si="7">IF(I34&gt;0,1)</f>
        <v>0</v>
      </c>
    </row>
    <row r="35" spans="1:22" ht="165.75" x14ac:dyDescent="0.25">
      <c r="A35" s="201">
        <v>20</v>
      </c>
      <c r="B35" s="100" t="s">
        <v>21</v>
      </c>
      <c r="C35" s="279"/>
      <c r="D35" s="280"/>
      <c r="E35" s="287">
        <f t="shared" si="2"/>
        <v>0</v>
      </c>
      <c r="F35" s="280">
        <v>0</v>
      </c>
      <c r="G35" s="280" t="s">
        <v>28</v>
      </c>
      <c r="H35" s="283">
        <f t="shared" si="3"/>
        <v>0</v>
      </c>
      <c r="I35" s="299"/>
      <c r="J35" s="280" t="s">
        <v>28</v>
      </c>
      <c r="K35" s="280"/>
      <c r="L35" s="280">
        <v>0</v>
      </c>
      <c r="M35" s="285"/>
      <c r="N35" s="280" t="s">
        <v>28</v>
      </c>
      <c r="O35" s="280" t="s">
        <v>28</v>
      </c>
      <c r="P35" s="280" t="s">
        <v>28</v>
      </c>
      <c r="Q35" s="280" t="s">
        <v>28</v>
      </c>
      <c r="R35" s="285"/>
      <c r="T35" s="261" t="b">
        <f t="shared" si="6"/>
        <v>0</v>
      </c>
      <c r="U35" s="261" t="b">
        <f t="shared" si="7"/>
        <v>0</v>
      </c>
    </row>
    <row r="36" spans="1:22" ht="20.25" x14ac:dyDescent="0.3">
      <c r="A36" s="219"/>
      <c r="B36" s="108"/>
      <c r="C36" s="416" t="s">
        <v>58</v>
      </c>
      <c r="D36" s="416"/>
      <c r="E36" s="416"/>
      <c r="F36" s="416"/>
      <c r="G36" s="416"/>
      <c r="H36" s="416"/>
      <c r="I36" s="416"/>
      <c r="J36" s="416"/>
      <c r="K36" s="416"/>
      <c r="L36" s="416"/>
      <c r="M36" s="416"/>
      <c r="N36" s="416"/>
      <c r="O36" s="416"/>
      <c r="P36" s="416"/>
      <c r="Q36" s="416"/>
      <c r="R36" s="417"/>
      <c r="T36" s="266">
        <f>SUM(T15:T35)</f>
        <v>14</v>
      </c>
      <c r="U36" s="266">
        <f>SUM(U15:U35)</f>
        <v>9</v>
      </c>
      <c r="V36" s="267">
        <f>U36/T36</f>
        <v>0.6428571428571429</v>
      </c>
    </row>
    <row r="37" spans="1:22" s="264" customFormat="1" ht="63.75" x14ac:dyDescent="0.25">
      <c r="A37" s="214">
        <v>21</v>
      </c>
      <c r="B37" s="107" t="s">
        <v>22</v>
      </c>
      <c r="C37" s="290"/>
      <c r="D37" s="291"/>
      <c r="E37" s="292">
        <f t="shared" ref="E37:E41" si="8">IFERROR(ROUND(C37/D37,9),0)</f>
        <v>0</v>
      </c>
      <c r="F37" s="291" t="s">
        <v>28</v>
      </c>
      <c r="G37" s="293">
        <f t="shared" ref="G37:G40" si="9">IFERROR(ROUND((E37/P37*100-100),9),0)</f>
        <v>0</v>
      </c>
      <c r="H37" s="291" t="s">
        <v>28</v>
      </c>
      <c r="I37" s="298"/>
      <c r="J37" s="291"/>
      <c r="K37" s="291"/>
      <c r="L37" s="291">
        <v>2</v>
      </c>
      <c r="M37" s="295"/>
      <c r="N37" s="290"/>
      <c r="O37" s="291"/>
      <c r="P37" s="293">
        <f>IFERROR(ROUND(N37/O37,9),0)</f>
        <v>0</v>
      </c>
      <c r="Q37" s="294">
        <v>0</v>
      </c>
      <c r="R37" s="295"/>
      <c r="T37" s="300">
        <v>0</v>
      </c>
      <c r="U37" s="261" t="b">
        <f t="shared" ref="U37:U41" si="10">IF(I37&gt;0,1)</f>
        <v>0</v>
      </c>
    </row>
    <row r="38" spans="1:22" s="264" customFormat="1" ht="101.25" customHeight="1" x14ac:dyDescent="0.25">
      <c r="A38" s="214">
        <v>22</v>
      </c>
      <c r="B38" s="107" t="s">
        <v>23</v>
      </c>
      <c r="C38" s="290"/>
      <c r="D38" s="291"/>
      <c r="E38" s="292">
        <f t="shared" si="8"/>
        <v>0</v>
      </c>
      <c r="F38" s="291">
        <v>0</v>
      </c>
      <c r="G38" s="291" t="s">
        <v>28</v>
      </c>
      <c r="H38" s="293">
        <f t="shared" ref="H38" si="11">IFERROR(ROUND(E38/F38,9),0)</f>
        <v>0</v>
      </c>
      <c r="I38" s="298"/>
      <c r="J38" s="291" t="s">
        <v>28</v>
      </c>
      <c r="K38" s="291"/>
      <c r="L38" s="291">
        <v>2</v>
      </c>
      <c r="M38" s="295"/>
      <c r="N38" s="291" t="s">
        <v>28</v>
      </c>
      <c r="O38" s="291" t="s">
        <v>28</v>
      </c>
      <c r="P38" s="291" t="s">
        <v>28</v>
      </c>
      <c r="Q38" s="294">
        <v>0</v>
      </c>
      <c r="R38" s="295"/>
      <c r="T38" s="300">
        <v>0</v>
      </c>
      <c r="U38" s="261" t="b">
        <f t="shared" si="10"/>
        <v>0</v>
      </c>
    </row>
    <row r="39" spans="1:22" ht="114.75" x14ac:dyDescent="0.25">
      <c r="A39" s="201">
        <v>23</v>
      </c>
      <c r="B39" s="106" t="s">
        <v>24</v>
      </c>
      <c r="C39" s="279">
        <v>0</v>
      </c>
      <c r="D39" s="289">
        <v>4</v>
      </c>
      <c r="E39" s="287">
        <f t="shared" si="8"/>
        <v>0</v>
      </c>
      <c r="F39" s="280" t="s">
        <v>28</v>
      </c>
      <c r="G39" s="283">
        <f t="shared" si="9"/>
        <v>0</v>
      </c>
      <c r="H39" s="280" t="s">
        <v>28</v>
      </c>
      <c r="I39" s="299">
        <v>0</v>
      </c>
      <c r="J39" s="280">
        <v>0</v>
      </c>
      <c r="K39" s="280">
        <v>0</v>
      </c>
      <c r="L39" s="289">
        <v>1</v>
      </c>
      <c r="M39" s="285"/>
      <c r="N39" s="279">
        <v>0</v>
      </c>
      <c r="O39" s="280">
        <v>11</v>
      </c>
      <c r="P39" s="283">
        <f>IFERROR(ROUND(N39/O39,9),0)</f>
        <v>0</v>
      </c>
      <c r="Q39" s="288">
        <v>0</v>
      </c>
      <c r="R39" s="285"/>
      <c r="T39" s="261">
        <f>IF(L39&gt;0,1)</f>
        <v>1</v>
      </c>
      <c r="U39" s="261" t="b">
        <f t="shared" si="10"/>
        <v>0</v>
      </c>
    </row>
    <row r="40" spans="1:22" ht="123" customHeight="1" x14ac:dyDescent="0.25">
      <c r="A40" s="201">
        <v>24</v>
      </c>
      <c r="B40" s="106" t="s">
        <v>25</v>
      </c>
      <c r="C40" s="279">
        <v>0</v>
      </c>
      <c r="D40" s="280">
        <v>38</v>
      </c>
      <c r="E40" s="287">
        <f t="shared" si="8"/>
        <v>0</v>
      </c>
      <c r="F40" s="280" t="s">
        <v>28</v>
      </c>
      <c r="G40" s="283">
        <f t="shared" si="9"/>
        <v>0</v>
      </c>
      <c r="H40" s="280" t="s">
        <v>28</v>
      </c>
      <c r="I40" s="299">
        <v>0</v>
      </c>
      <c r="J40" s="280">
        <v>0</v>
      </c>
      <c r="K40" s="280">
        <v>0</v>
      </c>
      <c r="L40" s="289">
        <v>1</v>
      </c>
      <c r="M40" s="285"/>
      <c r="N40" s="279">
        <v>0</v>
      </c>
      <c r="O40" s="280">
        <v>30</v>
      </c>
      <c r="P40" s="283">
        <f>IFERROR(ROUND(N40/O40,9),0)</f>
        <v>0</v>
      </c>
      <c r="Q40" s="288">
        <v>0</v>
      </c>
      <c r="R40" s="285"/>
      <c r="T40" s="261">
        <f t="shared" ref="T40:T41" si="12">IF(L40&gt;0,1)</f>
        <v>1</v>
      </c>
      <c r="U40" s="261" t="b">
        <f t="shared" si="10"/>
        <v>0</v>
      </c>
    </row>
    <row r="41" spans="1:22" s="264" customFormat="1" ht="109.5" customHeight="1" x14ac:dyDescent="0.25">
      <c r="A41" s="214">
        <v>25</v>
      </c>
      <c r="B41" s="107" t="s">
        <v>26</v>
      </c>
      <c r="C41" s="290"/>
      <c r="D41" s="291"/>
      <c r="E41" s="292">
        <f t="shared" si="8"/>
        <v>0</v>
      </c>
      <c r="F41" s="291">
        <v>0</v>
      </c>
      <c r="G41" s="291" t="s">
        <v>28</v>
      </c>
      <c r="H41" s="293">
        <f t="shared" ref="H41" si="13">IFERROR(ROUND(E41/F41,9),0)</f>
        <v>0</v>
      </c>
      <c r="I41" s="298"/>
      <c r="J41" s="291" t="s">
        <v>28</v>
      </c>
      <c r="K41" s="291"/>
      <c r="L41" s="291">
        <v>0</v>
      </c>
      <c r="M41" s="295"/>
      <c r="N41" s="291" t="s">
        <v>28</v>
      </c>
      <c r="O41" s="291" t="s">
        <v>28</v>
      </c>
      <c r="P41" s="291" t="s">
        <v>28</v>
      </c>
      <c r="Q41" s="294">
        <v>0</v>
      </c>
      <c r="R41" s="295"/>
      <c r="T41" s="261" t="b">
        <f t="shared" si="12"/>
        <v>0</v>
      </c>
      <c r="U41" s="261" t="b">
        <f t="shared" si="10"/>
        <v>0</v>
      </c>
    </row>
    <row r="42" spans="1:22" ht="20.25" x14ac:dyDescent="0.3">
      <c r="A42" s="226"/>
      <c r="B42" s="109"/>
      <c r="C42" s="416" t="s">
        <v>59</v>
      </c>
      <c r="D42" s="416"/>
      <c r="E42" s="416"/>
      <c r="F42" s="416"/>
      <c r="G42" s="416"/>
      <c r="H42" s="416"/>
      <c r="I42" s="416"/>
      <c r="J42" s="416"/>
      <c r="K42" s="416"/>
      <c r="L42" s="416"/>
      <c r="M42" s="416"/>
      <c r="N42" s="416"/>
      <c r="O42" s="416"/>
      <c r="P42" s="416"/>
      <c r="Q42" s="416"/>
      <c r="R42" s="417"/>
      <c r="T42" s="266">
        <f>SUM(T37:T41)</f>
        <v>2</v>
      </c>
      <c r="U42" s="266">
        <f>SUM(U37:U41)</f>
        <v>0</v>
      </c>
      <c r="V42" s="267">
        <f>U42/T42</f>
        <v>0</v>
      </c>
    </row>
    <row r="43" spans="1:22" s="260" customFormat="1" ht="38.25" x14ac:dyDescent="0.25">
      <c r="A43" s="192">
        <v>26</v>
      </c>
      <c r="B43" s="105" t="s">
        <v>40</v>
      </c>
      <c r="C43" s="301">
        <f>69790+503142.48</f>
        <v>572932.48</v>
      </c>
      <c r="D43" s="228">
        <f>47055+ROUND((14485+8426+27366*2.9)*4.2/12*11,0)</f>
        <v>440804</v>
      </c>
      <c r="E43" s="229">
        <v>1.2997442850000001</v>
      </c>
      <c r="F43" s="230">
        <v>1</v>
      </c>
      <c r="G43" s="230" t="s">
        <v>28</v>
      </c>
      <c r="H43" s="231">
        <v>1.2997442850000001</v>
      </c>
      <c r="I43" s="232">
        <v>2</v>
      </c>
      <c r="J43" s="230">
        <v>1</v>
      </c>
      <c r="K43" s="230">
        <v>0</v>
      </c>
      <c r="L43" s="230">
        <v>1</v>
      </c>
      <c r="M43" s="233"/>
      <c r="N43" s="234" t="s">
        <v>28</v>
      </c>
      <c r="O43" s="230" t="s">
        <v>28</v>
      </c>
      <c r="P43" s="231" t="s">
        <v>28</v>
      </c>
      <c r="Q43" s="232">
        <v>1</v>
      </c>
      <c r="R43" s="233"/>
    </row>
    <row r="44" spans="1:22" x14ac:dyDescent="0.25">
      <c r="A44" s="201"/>
      <c r="B44" s="110"/>
      <c r="C44" s="235"/>
      <c r="D44" s="201"/>
      <c r="E44" s="201"/>
      <c r="F44" s="201"/>
      <c r="G44" s="201"/>
      <c r="H44" s="201"/>
      <c r="I44" s="302"/>
      <c r="J44" s="201"/>
      <c r="K44" s="201"/>
      <c r="L44" s="201"/>
      <c r="M44" s="269"/>
      <c r="N44" s="235"/>
      <c r="O44" s="201"/>
      <c r="P44" s="201"/>
      <c r="Q44" s="268"/>
      <c r="R44" s="269"/>
    </row>
    <row r="45" spans="1:22" x14ac:dyDescent="0.25">
      <c r="A45" s="201"/>
      <c r="B45" s="110"/>
      <c r="C45" s="235"/>
      <c r="D45" s="201"/>
      <c r="E45" s="201"/>
      <c r="F45" s="201"/>
      <c r="G45" s="201"/>
      <c r="H45" s="201"/>
      <c r="I45" s="302"/>
      <c r="J45" s="201"/>
      <c r="K45" s="201"/>
      <c r="L45" s="201"/>
      <c r="M45" s="269"/>
      <c r="N45" s="235"/>
      <c r="O45" s="201"/>
      <c r="P45" s="201"/>
      <c r="Q45" s="268"/>
      <c r="R45" s="269"/>
    </row>
    <row r="46" spans="1:22" x14ac:dyDescent="0.25">
      <c r="A46" s="201"/>
      <c r="B46" s="110"/>
      <c r="C46" s="235"/>
      <c r="D46" s="201"/>
      <c r="E46" s="201"/>
      <c r="F46" s="201"/>
      <c r="G46" s="201"/>
      <c r="H46" s="201"/>
      <c r="I46" s="302"/>
      <c r="J46" s="201"/>
      <c r="K46" s="201"/>
      <c r="L46" s="201"/>
      <c r="M46" s="269"/>
      <c r="N46" s="235"/>
      <c r="O46" s="201"/>
      <c r="P46" s="201"/>
      <c r="Q46" s="268"/>
      <c r="R46" s="269"/>
    </row>
    <row r="47" spans="1:22" x14ac:dyDescent="0.25">
      <c r="A47" s="201"/>
      <c r="B47" s="110"/>
      <c r="C47" s="235"/>
      <c r="D47" s="201"/>
      <c r="E47" s="201"/>
      <c r="F47" s="201"/>
      <c r="G47" s="201"/>
      <c r="H47" s="201"/>
      <c r="I47" s="302"/>
      <c r="J47" s="201"/>
      <c r="K47" s="201"/>
      <c r="L47" s="201"/>
      <c r="M47" s="269"/>
      <c r="N47" s="235"/>
      <c r="O47" s="201"/>
      <c r="P47" s="201"/>
      <c r="Q47" s="268"/>
      <c r="R47" s="269"/>
    </row>
    <row r="48" spans="1:22" x14ac:dyDescent="0.25">
      <c r="A48" s="201"/>
      <c r="B48" s="110"/>
      <c r="C48" s="235"/>
      <c r="D48" s="201"/>
      <c r="E48" s="201"/>
      <c r="F48" s="201"/>
      <c r="G48" s="201"/>
      <c r="H48" s="201"/>
      <c r="I48" s="302"/>
      <c r="J48" s="201"/>
      <c r="K48" s="201"/>
      <c r="L48" s="201"/>
      <c r="M48" s="269"/>
      <c r="N48" s="235"/>
      <c r="O48" s="201"/>
      <c r="P48" s="201"/>
      <c r="Q48" s="268"/>
      <c r="R48" s="269"/>
    </row>
    <row r="49" spans="1:18" x14ac:dyDescent="0.25">
      <c r="A49" s="201"/>
      <c r="B49" s="110"/>
      <c r="C49" s="235"/>
      <c r="D49" s="201"/>
      <c r="E49" s="201"/>
      <c r="F49" s="201"/>
      <c r="G49" s="201"/>
      <c r="H49" s="201"/>
      <c r="I49" s="302"/>
      <c r="J49" s="201"/>
      <c r="K49" s="201"/>
      <c r="L49" s="201"/>
      <c r="M49" s="269"/>
      <c r="N49" s="235"/>
      <c r="O49" s="201"/>
      <c r="P49" s="201"/>
      <c r="Q49" s="268"/>
      <c r="R49" s="269"/>
    </row>
    <row r="50" spans="1:18" x14ac:dyDescent="0.25">
      <c r="A50" s="201"/>
      <c r="B50" s="110"/>
      <c r="C50" s="235"/>
      <c r="D50" s="201"/>
      <c r="E50" s="201"/>
      <c r="F50" s="201"/>
      <c r="G50" s="201"/>
      <c r="H50" s="201"/>
      <c r="I50" s="302"/>
      <c r="J50" s="201"/>
      <c r="K50" s="201"/>
      <c r="L50" s="201"/>
      <c r="M50" s="269"/>
      <c r="N50" s="235"/>
      <c r="O50" s="201"/>
      <c r="P50" s="201"/>
      <c r="Q50" s="268"/>
      <c r="R50" s="269"/>
    </row>
    <row r="51" spans="1:18" x14ac:dyDescent="0.25">
      <c r="A51" s="201"/>
      <c r="B51" s="110"/>
      <c r="C51" s="235"/>
      <c r="D51" s="201"/>
      <c r="E51" s="201"/>
      <c r="F51" s="201"/>
      <c r="G51" s="201"/>
      <c r="H51" s="201"/>
      <c r="I51" s="302"/>
      <c r="J51" s="201"/>
      <c r="K51" s="201"/>
      <c r="L51" s="201"/>
      <c r="M51" s="269"/>
      <c r="N51" s="235"/>
      <c r="O51" s="201"/>
      <c r="P51" s="201"/>
      <c r="Q51" s="268"/>
      <c r="R51" s="269"/>
    </row>
    <row r="52" spans="1:18" x14ac:dyDescent="0.25">
      <c r="A52" s="201"/>
      <c r="B52" s="110"/>
      <c r="C52" s="235"/>
      <c r="D52" s="201"/>
      <c r="E52" s="201"/>
      <c r="F52" s="201"/>
      <c r="G52" s="201"/>
      <c r="H52" s="201"/>
      <c r="I52" s="302"/>
      <c r="J52" s="201"/>
      <c r="K52" s="201"/>
      <c r="L52" s="201"/>
      <c r="M52" s="269"/>
      <c r="N52" s="235"/>
      <c r="O52" s="201"/>
      <c r="P52" s="201"/>
      <c r="Q52" s="268"/>
      <c r="R52" s="269"/>
    </row>
    <row r="53" spans="1:18" ht="51.75" customHeight="1" x14ac:dyDescent="0.25">
      <c r="A53" s="395"/>
      <c r="B53" s="395"/>
      <c r="C53" s="395"/>
      <c r="D53" s="395"/>
      <c r="E53" s="395"/>
      <c r="F53" s="395"/>
      <c r="G53" s="395"/>
      <c r="H53" s="395"/>
      <c r="I53" s="395"/>
      <c r="J53" s="395"/>
      <c r="K53" s="395"/>
      <c r="L53" s="395"/>
      <c r="M53" s="395"/>
      <c r="N53" s="395"/>
      <c r="O53" s="395"/>
      <c r="P53" s="395"/>
      <c r="Q53" s="395"/>
      <c r="R53" s="395"/>
    </row>
    <row r="54" spans="1:18" ht="19.5" customHeight="1" x14ac:dyDescent="0.25">
      <c r="A54" s="395"/>
      <c r="B54" s="396"/>
      <c r="C54" s="396"/>
      <c r="D54" s="396"/>
      <c r="E54" s="396"/>
      <c r="F54" s="396"/>
      <c r="G54" s="396"/>
      <c r="H54" s="396"/>
      <c r="I54" s="396"/>
      <c r="J54" s="396"/>
      <c r="K54" s="396"/>
      <c r="L54" s="396"/>
      <c r="M54" s="396"/>
      <c r="N54" s="396"/>
      <c r="O54" s="396"/>
      <c r="P54" s="396"/>
      <c r="Q54" s="270"/>
      <c r="R54" s="244"/>
    </row>
    <row r="55" spans="1:18" ht="15.75" x14ac:dyDescent="0.25">
      <c r="A55" s="243"/>
      <c r="B55" s="111"/>
      <c r="C55" s="320"/>
      <c r="D55" s="320"/>
      <c r="E55" s="320"/>
      <c r="F55" s="320"/>
      <c r="G55" s="320"/>
      <c r="H55" s="320"/>
      <c r="I55" s="320"/>
      <c r="J55" s="320"/>
      <c r="K55" s="320"/>
      <c r="L55" s="320"/>
      <c r="M55" s="320"/>
      <c r="N55" s="320"/>
      <c r="O55" s="320"/>
      <c r="P55" s="320"/>
      <c r="Q55" s="320"/>
      <c r="R55" s="320"/>
    </row>
    <row r="56" spans="1:18" x14ac:dyDescent="0.25">
      <c r="C56" s="321"/>
      <c r="D56" s="322"/>
      <c r="E56" s="322"/>
      <c r="F56" s="322"/>
      <c r="G56" s="322"/>
      <c r="H56" s="322"/>
      <c r="I56" s="323"/>
      <c r="J56" s="322"/>
      <c r="K56" s="322"/>
      <c r="L56" s="322"/>
      <c r="M56" s="322"/>
      <c r="N56" s="322"/>
      <c r="O56" s="322"/>
      <c r="P56" s="322"/>
      <c r="Q56" s="323"/>
      <c r="R56" s="322"/>
    </row>
    <row r="57" spans="1:18" x14ac:dyDescent="0.25">
      <c r="C57" s="323"/>
      <c r="D57" s="323"/>
      <c r="E57" s="323"/>
      <c r="F57" s="323"/>
      <c r="G57" s="323"/>
      <c r="H57" s="323"/>
      <c r="I57" s="323"/>
      <c r="J57" s="323"/>
      <c r="K57" s="323"/>
      <c r="L57" s="323"/>
      <c r="M57" s="323"/>
      <c r="N57" s="323"/>
      <c r="O57" s="323"/>
      <c r="P57" s="323"/>
      <c r="Q57" s="323"/>
      <c r="R57" s="323"/>
    </row>
    <row r="58" spans="1:18" x14ac:dyDescent="0.25">
      <c r="C58" s="321"/>
      <c r="D58" s="321"/>
      <c r="E58" s="321"/>
      <c r="F58" s="321"/>
      <c r="G58" s="321"/>
      <c r="H58" s="321"/>
      <c r="I58" s="321"/>
      <c r="J58" s="321"/>
      <c r="K58" s="321"/>
      <c r="L58" s="321"/>
      <c r="M58" s="321"/>
      <c r="N58" s="321"/>
      <c r="O58" s="321"/>
      <c r="P58" s="321"/>
      <c r="Q58" s="321"/>
      <c r="R58" s="321"/>
    </row>
    <row r="59" spans="1:18" ht="18.75" x14ac:dyDescent="0.3">
      <c r="I59" s="303"/>
      <c r="J59" s="271"/>
      <c r="K59" s="271"/>
      <c r="L59" s="271"/>
    </row>
    <row r="60" spans="1:18" ht="18.75" x14ac:dyDescent="0.3">
      <c r="I60" s="303"/>
      <c r="J60" s="271"/>
      <c r="K60" s="271"/>
      <c r="L60" s="272"/>
    </row>
    <row r="61" spans="1:18" ht="18.75" x14ac:dyDescent="0.3">
      <c r="I61" s="303"/>
      <c r="J61" s="271"/>
      <c r="K61" s="271"/>
      <c r="L61" s="273"/>
    </row>
    <row r="62" spans="1:18" ht="18.75" x14ac:dyDescent="0.3">
      <c r="I62" s="303"/>
      <c r="J62" s="271"/>
      <c r="K62" s="271"/>
      <c r="L62" s="271"/>
    </row>
  </sheetData>
  <autoFilter ref="A13:R55"/>
  <mergeCells count="28">
    <mergeCell ref="A6:R6"/>
    <mergeCell ref="A7:A12"/>
    <mergeCell ref="B7:B12"/>
    <mergeCell ref="C7:M7"/>
    <mergeCell ref="N7:R7"/>
    <mergeCell ref="C8:C10"/>
    <mergeCell ref="D8:D10"/>
    <mergeCell ref="E8:E10"/>
    <mergeCell ref="F8:F10"/>
    <mergeCell ref="G8:G10"/>
    <mergeCell ref="R8:R10"/>
    <mergeCell ref="C11:R11"/>
    <mergeCell ref="H8:H10"/>
    <mergeCell ref="I8:I10"/>
    <mergeCell ref="J8:J10"/>
    <mergeCell ref="K8:K10"/>
    <mergeCell ref="A54:P54"/>
    <mergeCell ref="N8:N10"/>
    <mergeCell ref="O8:O10"/>
    <mergeCell ref="P8:P10"/>
    <mergeCell ref="A53:R53"/>
    <mergeCell ref="Q8:Q10"/>
    <mergeCell ref="C14:R14"/>
    <mergeCell ref="C29:R29"/>
    <mergeCell ref="C36:R36"/>
    <mergeCell ref="C42:R42"/>
    <mergeCell ref="L8:L10"/>
    <mergeCell ref="M8:M10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FF"/>
  </sheetPr>
  <dimension ref="A1:F33"/>
  <sheetViews>
    <sheetView view="pageBreakPreview" zoomScaleNormal="100" zoomScaleSheetLayoutView="100" workbookViewId="0">
      <selection activeCell="I14" sqref="I14"/>
    </sheetView>
  </sheetViews>
  <sheetFormatPr defaultColWidth="9.140625" defaultRowHeight="16.5" x14ac:dyDescent="0.25"/>
  <cols>
    <col min="1" max="1" width="10.42578125" style="87" customWidth="1"/>
    <col min="2" max="2" width="30.28515625" style="87" customWidth="1"/>
    <col min="3" max="3" width="32.28515625" style="87" customWidth="1"/>
    <col min="4" max="4" width="27.85546875" style="87" customWidth="1"/>
    <col min="5" max="5" width="9.140625" style="87"/>
    <col min="6" max="6" width="15" style="87" customWidth="1"/>
    <col min="7" max="16384" width="9.140625" style="87"/>
  </cols>
  <sheetData>
    <row r="1" spans="1:4" x14ac:dyDescent="0.25">
      <c r="D1" s="88" t="s">
        <v>61</v>
      </c>
    </row>
    <row r="2" spans="1:4" x14ac:dyDescent="0.25">
      <c r="D2" s="98" t="s">
        <v>78</v>
      </c>
    </row>
    <row r="3" spans="1:4" x14ac:dyDescent="0.25">
      <c r="D3" s="98" t="str">
        <f>МОБ!$R$3</f>
        <v>№ 17-03 от 19.12.2024</v>
      </c>
    </row>
    <row r="4" spans="1:4" x14ac:dyDescent="0.25">
      <c r="D4" s="98"/>
    </row>
    <row r="5" spans="1:4" ht="39" customHeight="1" x14ac:dyDescent="0.25">
      <c r="A5" s="427" t="s">
        <v>62</v>
      </c>
      <c r="B5" s="427"/>
      <c r="C5" s="427"/>
      <c r="D5" s="427"/>
    </row>
    <row r="6" spans="1:4" ht="18" customHeight="1" x14ac:dyDescent="0.25">
      <c r="A6" s="428" t="s">
        <v>199</v>
      </c>
      <c r="B6" s="428"/>
      <c r="C6" s="428"/>
      <c r="D6" s="428"/>
    </row>
    <row r="7" spans="1:4" ht="18" customHeight="1" x14ac:dyDescent="0.25">
      <c r="A7" s="89"/>
      <c r="B7" s="89"/>
      <c r="C7" s="89"/>
      <c r="D7" s="89"/>
    </row>
    <row r="8" spans="1:4" ht="33" customHeight="1" x14ac:dyDescent="0.25">
      <c r="A8" s="420" t="s">
        <v>77</v>
      </c>
      <c r="B8" s="420"/>
      <c r="C8" s="420"/>
      <c r="D8" s="420"/>
    </row>
    <row r="10" spans="1:4" ht="52.5" customHeight="1" x14ac:dyDescent="0.25">
      <c r="A10" s="90" t="s">
        <v>63</v>
      </c>
      <c r="B10" s="90" t="s">
        <v>64</v>
      </c>
      <c r="C10" s="90" t="s">
        <v>65</v>
      </c>
      <c r="D10" s="90" t="s">
        <v>66</v>
      </c>
    </row>
    <row r="11" spans="1:4" ht="33" customHeight="1" x14ac:dyDescent="0.25">
      <c r="A11" s="421" t="s">
        <v>67</v>
      </c>
      <c r="B11" s="422" t="s">
        <v>73</v>
      </c>
      <c r="C11" s="91" t="s">
        <v>68</v>
      </c>
      <c r="D11" s="92">
        <f>МОБ!V36</f>
        <v>0.3</v>
      </c>
    </row>
    <row r="12" spans="1:4" ht="18.75" customHeight="1" x14ac:dyDescent="0.25">
      <c r="A12" s="421"/>
      <c r="B12" s="423"/>
      <c r="C12" s="91"/>
      <c r="D12" s="92"/>
    </row>
    <row r="13" spans="1:4" ht="34.5" customHeight="1" x14ac:dyDescent="0.25">
      <c r="A13" s="324" t="s">
        <v>70</v>
      </c>
      <c r="B13" s="342" t="s">
        <v>74</v>
      </c>
      <c r="C13" s="117"/>
      <c r="D13" s="117"/>
    </row>
    <row r="14" spans="1:4" ht="30.75" customHeight="1" x14ac:dyDescent="0.25">
      <c r="A14" s="424" t="s">
        <v>71</v>
      </c>
      <c r="B14" s="423" t="s">
        <v>75</v>
      </c>
      <c r="C14" s="340" t="s">
        <v>69</v>
      </c>
      <c r="D14" s="341">
        <f>'Городская поликлиника'!V36</f>
        <v>0.6428571428571429</v>
      </c>
    </row>
    <row r="15" spans="1:4" ht="47.25" customHeight="1" x14ac:dyDescent="0.25">
      <c r="A15" s="425"/>
      <c r="B15" s="426"/>
      <c r="C15" s="91" t="s">
        <v>83</v>
      </c>
      <c r="D15" s="92">
        <f>МОЦОМиД!V36</f>
        <v>0.83333333333333337</v>
      </c>
    </row>
    <row r="17" spans="1:6" ht="32.25" customHeight="1" x14ac:dyDescent="0.25">
      <c r="A17" s="420" t="s">
        <v>72</v>
      </c>
      <c r="B17" s="420"/>
      <c r="C17" s="420"/>
      <c r="D17" s="420"/>
    </row>
    <row r="19" spans="1:6" ht="52.5" customHeight="1" x14ac:dyDescent="0.25">
      <c r="A19" s="115" t="s">
        <v>63</v>
      </c>
      <c r="B19" s="115" t="s">
        <v>64</v>
      </c>
      <c r="C19" s="115" t="s">
        <v>65</v>
      </c>
      <c r="D19" s="115" t="s">
        <v>66</v>
      </c>
      <c r="E19" s="116"/>
      <c r="F19" s="116"/>
    </row>
    <row r="20" spans="1:6" ht="33" x14ac:dyDescent="0.25">
      <c r="A20" s="421" t="s">
        <v>67</v>
      </c>
      <c r="B20" s="422" t="s">
        <v>73</v>
      </c>
      <c r="C20" s="91" t="s">
        <v>122</v>
      </c>
      <c r="D20" s="87">
        <v>0</v>
      </c>
      <c r="E20" s="116"/>
      <c r="F20" s="116"/>
    </row>
    <row r="21" spans="1:6" ht="38.25" customHeight="1" x14ac:dyDescent="0.25">
      <c r="A21" s="421"/>
      <c r="B21" s="423"/>
      <c r="C21" s="91" t="s">
        <v>68</v>
      </c>
      <c r="D21" s="92">
        <f>МОБ!$V$42</f>
        <v>0.2</v>
      </c>
      <c r="E21" s="116"/>
      <c r="F21" s="116"/>
    </row>
    <row r="22" spans="1:6" ht="36.75" customHeight="1" x14ac:dyDescent="0.25">
      <c r="A22" s="97" t="s">
        <v>70</v>
      </c>
      <c r="B22" s="93" t="s">
        <v>74</v>
      </c>
      <c r="C22" s="117"/>
      <c r="D22" s="117"/>
      <c r="E22" s="116"/>
      <c r="F22" s="116"/>
    </row>
    <row r="23" spans="1:6" ht="46.5" customHeight="1" x14ac:dyDescent="0.25">
      <c r="A23" s="97" t="s">
        <v>71</v>
      </c>
      <c r="B23" s="93" t="s">
        <v>75</v>
      </c>
      <c r="C23" s="91" t="s">
        <v>83</v>
      </c>
      <c r="D23" s="92">
        <f>МОЦОМиД!V42</f>
        <v>0.66666666666666663</v>
      </c>
      <c r="E23" s="116"/>
      <c r="F23" s="116"/>
    </row>
    <row r="25" spans="1:6" ht="27.75" customHeight="1" x14ac:dyDescent="0.25">
      <c r="A25" s="420" t="s">
        <v>101</v>
      </c>
      <c r="B25" s="420"/>
      <c r="C25" s="420"/>
      <c r="D25" s="420"/>
    </row>
    <row r="27" spans="1:6" ht="55.5" customHeight="1" x14ac:dyDescent="0.25">
      <c r="A27" s="90" t="s">
        <v>63</v>
      </c>
      <c r="B27" s="90" t="s">
        <v>64</v>
      </c>
      <c r="C27" s="90" t="s">
        <v>65</v>
      </c>
      <c r="D27" s="90" t="s">
        <v>66</v>
      </c>
    </row>
    <row r="28" spans="1:6" ht="30" customHeight="1" x14ac:dyDescent="0.25">
      <c r="A28" s="421" t="s">
        <v>67</v>
      </c>
      <c r="B28" s="422" t="s">
        <v>73</v>
      </c>
      <c r="C28" s="91" t="s">
        <v>68</v>
      </c>
      <c r="D28" s="92">
        <f>МОБ!I43</f>
        <v>0</v>
      </c>
    </row>
    <row r="29" spans="1:6" ht="23.25" customHeight="1" x14ac:dyDescent="0.25">
      <c r="A29" s="421"/>
      <c r="B29" s="423"/>
      <c r="C29" s="91"/>
      <c r="D29" s="92">
        <f>'[1]ПР_1_Городская пол-ка'!W87</f>
        <v>0</v>
      </c>
    </row>
    <row r="30" spans="1:6" ht="30" customHeight="1" x14ac:dyDescent="0.25">
      <c r="A30" s="97" t="s">
        <v>70</v>
      </c>
      <c r="B30" s="93" t="s">
        <v>74</v>
      </c>
      <c r="C30" s="91"/>
      <c r="D30" s="92"/>
    </row>
    <row r="31" spans="1:6" ht="33" x14ac:dyDescent="0.25">
      <c r="A31" s="97" t="s">
        <v>71</v>
      </c>
      <c r="B31" s="93" t="s">
        <v>75</v>
      </c>
      <c r="C31" s="91" t="s">
        <v>69</v>
      </c>
      <c r="D31" s="92">
        <v>1</v>
      </c>
    </row>
    <row r="32" spans="1:6" ht="10.5" customHeight="1" x14ac:dyDescent="0.25"/>
    <row r="33" spans="1:4" ht="66.75" customHeight="1" x14ac:dyDescent="0.3">
      <c r="A33" s="419" t="s">
        <v>76</v>
      </c>
      <c r="B33" s="419"/>
      <c r="C33" s="419"/>
      <c r="D33" s="419"/>
    </row>
  </sheetData>
  <mergeCells count="14">
    <mergeCell ref="A14:A15"/>
    <mergeCell ref="B14:B15"/>
    <mergeCell ref="A5:D5"/>
    <mergeCell ref="A6:D6"/>
    <mergeCell ref="A8:D8"/>
    <mergeCell ref="A11:A12"/>
    <mergeCell ref="B11:B12"/>
    <mergeCell ref="A33:D33"/>
    <mergeCell ref="A17:D17"/>
    <mergeCell ref="A20:A21"/>
    <mergeCell ref="B20:B21"/>
    <mergeCell ref="A25:D25"/>
    <mergeCell ref="A28:A29"/>
    <mergeCell ref="B28:B29"/>
  </mergeCells>
  <pageMargins left="0.7" right="0.7" top="0.75" bottom="0.75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K20"/>
  <sheetViews>
    <sheetView view="pageBreakPreview" zoomScale="90" zoomScaleNormal="100" zoomScaleSheetLayoutView="90" workbookViewId="0">
      <selection activeCell="O8" sqref="O8"/>
    </sheetView>
  </sheetViews>
  <sheetFormatPr defaultRowHeight="15" x14ac:dyDescent="0.25"/>
  <cols>
    <col min="1" max="1" width="38.28515625" style="149" customWidth="1"/>
    <col min="2" max="2" width="11.28515625" style="149" customWidth="1"/>
    <col min="3" max="3" width="17.140625" style="149" customWidth="1"/>
    <col min="4" max="4" width="15.85546875" style="149" customWidth="1"/>
    <col min="5" max="5" width="16.5703125" style="149" customWidth="1"/>
    <col min="6" max="6" width="15.42578125" style="149" customWidth="1"/>
    <col min="7" max="7" width="12.5703125" style="149" customWidth="1"/>
    <col min="8" max="8" width="13.42578125" style="149" customWidth="1"/>
    <col min="9" max="10" width="14.85546875" style="149" customWidth="1"/>
    <col min="11" max="11" width="16.42578125" style="149" customWidth="1"/>
    <col min="12" max="16384" width="9.140625" style="149"/>
  </cols>
  <sheetData>
    <row r="1" spans="1:11" ht="16.5" x14ac:dyDescent="0.25">
      <c r="J1" s="88"/>
      <c r="K1" s="88" t="s">
        <v>84</v>
      </c>
    </row>
    <row r="2" spans="1:11" ht="16.5" x14ac:dyDescent="0.25">
      <c r="J2" s="98"/>
      <c r="K2" s="98" t="s">
        <v>78</v>
      </c>
    </row>
    <row r="3" spans="1:11" ht="16.5" x14ac:dyDescent="0.25">
      <c r="J3" s="98"/>
      <c r="K3" s="98" t="str">
        <f>МОБ!$R$3</f>
        <v>№ 17-03 от 19.12.2024</v>
      </c>
    </row>
    <row r="5" spans="1:11" ht="18.75" x14ac:dyDescent="0.3">
      <c r="A5" s="439" t="s">
        <v>126</v>
      </c>
      <c r="B5" s="439"/>
      <c r="C5" s="439"/>
      <c r="D5" s="439"/>
      <c r="E5" s="439"/>
      <c r="F5" s="439"/>
      <c r="G5" s="439"/>
      <c r="H5" s="439"/>
      <c r="I5" s="439"/>
      <c r="J5" s="439"/>
    </row>
    <row r="6" spans="1:11" ht="18.75" x14ac:dyDescent="0.3">
      <c r="A6" s="439" t="s">
        <v>156</v>
      </c>
      <c r="B6" s="439"/>
      <c r="C6" s="439"/>
      <c r="D6" s="439"/>
      <c r="E6" s="439"/>
      <c r="F6" s="439"/>
      <c r="G6" s="439"/>
      <c r="H6" s="439"/>
      <c r="I6" s="439"/>
      <c r="J6" s="439"/>
    </row>
    <row r="8" spans="1:11" ht="110.25" customHeight="1" x14ac:dyDescent="0.25">
      <c r="A8" s="438" t="s">
        <v>154</v>
      </c>
      <c r="B8" s="438"/>
      <c r="C8" s="438"/>
      <c r="D8" s="438"/>
      <c r="E8" s="438"/>
      <c r="F8" s="438"/>
      <c r="G8" s="438"/>
      <c r="H8" s="438"/>
      <c r="I8" s="438"/>
      <c r="J8" s="438"/>
    </row>
    <row r="9" spans="1:11" ht="18" customHeight="1" x14ac:dyDescent="0.25">
      <c r="A9" s="149" t="s">
        <v>129</v>
      </c>
    </row>
    <row r="11" spans="1:11" ht="51" customHeight="1" x14ac:dyDescent="0.25">
      <c r="A11" s="446" t="s">
        <v>65</v>
      </c>
      <c r="B11" s="157"/>
      <c r="C11" s="435" t="s">
        <v>128</v>
      </c>
      <c r="D11" s="436"/>
      <c r="E11" s="436"/>
      <c r="F11" s="437"/>
      <c r="G11" s="435" t="s">
        <v>144</v>
      </c>
      <c r="H11" s="436"/>
      <c r="I11" s="436"/>
      <c r="J11" s="437"/>
      <c r="K11" s="431" t="s">
        <v>181</v>
      </c>
    </row>
    <row r="12" spans="1:11" ht="81.75" customHeight="1" x14ac:dyDescent="0.25">
      <c r="A12" s="447"/>
      <c r="B12" s="156"/>
      <c r="C12" s="152" t="s">
        <v>194</v>
      </c>
      <c r="D12" s="152" t="s">
        <v>195</v>
      </c>
      <c r="E12" s="152" t="s">
        <v>136</v>
      </c>
      <c r="F12" s="152" t="s">
        <v>131</v>
      </c>
      <c r="G12" s="152" t="s">
        <v>132</v>
      </c>
      <c r="H12" s="152" t="s">
        <v>133</v>
      </c>
      <c r="I12" s="152" t="s">
        <v>137</v>
      </c>
      <c r="J12" s="151" t="s">
        <v>131</v>
      </c>
      <c r="K12" s="431"/>
    </row>
    <row r="13" spans="1:11" s="173" customFormat="1" ht="20.25" customHeight="1" x14ac:dyDescent="0.25">
      <c r="A13" s="156">
        <v>1</v>
      </c>
      <c r="B13" s="156"/>
      <c r="C13" s="152">
        <v>2</v>
      </c>
      <c r="D13" s="152">
        <v>3</v>
      </c>
      <c r="E13" s="152">
        <v>4</v>
      </c>
      <c r="F13" s="152">
        <v>5</v>
      </c>
      <c r="G13" s="156">
        <v>6</v>
      </c>
      <c r="H13" s="152">
        <v>7</v>
      </c>
      <c r="I13" s="152">
        <v>8</v>
      </c>
      <c r="J13" s="152">
        <v>9</v>
      </c>
      <c r="K13" s="160">
        <v>10</v>
      </c>
    </row>
    <row r="14" spans="1:11" ht="29.25" customHeight="1" x14ac:dyDescent="0.25">
      <c r="A14" s="440" t="s">
        <v>178</v>
      </c>
      <c r="B14" s="152" t="s">
        <v>134</v>
      </c>
      <c r="C14" s="327">
        <v>10.9</v>
      </c>
      <c r="D14" s="327">
        <v>10</v>
      </c>
      <c r="E14" s="304">
        <f>IFERROR(D14/C14-1,0)</f>
        <v>-8.2568807339449601E-2</v>
      </c>
      <c r="F14" s="442">
        <v>1</v>
      </c>
      <c r="G14" s="444">
        <f>ROUND((66183+9526+82248*2.6+15644)/12*11,0)</f>
        <v>279765</v>
      </c>
      <c r="H14" s="444">
        <f>184880</f>
        <v>184880</v>
      </c>
      <c r="I14" s="448">
        <f>H14/G14</f>
        <v>0.66084034814933967</v>
      </c>
      <c r="J14" s="442">
        <v>0.95</v>
      </c>
      <c r="K14" s="429">
        <f>J14*F14</f>
        <v>0.95</v>
      </c>
    </row>
    <row r="15" spans="1:11" ht="21" customHeight="1" x14ac:dyDescent="0.25">
      <c r="A15" s="441"/>
      <c r="B15" s="156" t="s">
        <v>135</v>
      </c>
      <c r="C15" s="327">
        <v>0.3</v>
      </c>
      <c r="D15" s="327">
        <v>0.04</v>
      </c>
      <c r="E15" s="304">
        <f>IFERROR(D15/C15-1,0)</f>
        <v>-0.8666666666666667</v>
      </c>
      <c r="F15" s="443"/>
      <c r="G15" s="445"/>
      <c r="H15" s="445"/>
      <c r="I15" s="449"/>
      <c r="J15" s="443"/>
      <c r="K15" s="430"/>
    </row>
    <row r="16" spans="1:11" ht="51" customHeight="1" x14ac:dyDescent="0.25">
      <c r="A16" s="177" t="s">
        <v>179</v>
      </c>
      <c r="B16" s="156" t="s">
        <v>135</v>
      </c>
      <c r="C16" s="327">
        <v>0.1</v>
      </c>
      <c r="D16" s="327">
        <v>0.2</v>
      </c>
      <c r="E16" s="304">
        <f t="shared" ref="E16:E17" si="0">IFERROR(D16/C16-1,0)</f>
        <v>1</v>
      </c>
      <c r="F16" s="176">
        <v>0.95</v>
      </c>
      <c r="G16" s="174">
        <f>ROUND((52276+21979+34042*2.6+24)/12*11,0)</f>
        <v>149223</v>
      </c>
      <c r="H16" s="174">
        <v>135779</v>
      </c>
      <c r="I16" s="175">
        <f>H16/G16</f>
        <v>0.90990664977918956</v>
      </c>
      <c r="J16" s="176">
        <v>1</v>
      </c>
      <c r="K16" s="305">
        <f>J16*F16</f>
        <v>0.95</v>
      </c>
    </row>
    <row r="17" spans="1:11" ht="30" customHeight="1" x14ac:dyDescent="0.25">
      <c r="A17" s="151" t="s">
        <v>180</v>
      </c>
      <c r="B17" s="152" t="s">
        <v>134</v>
      </c>
      <c r="C17" s="327">
        <v>6.4</v>
      </c>
      <c r="D17" s="327">
        <v>8.8000000000000007</v>
      </c>
      <c r="E17" s="304">
        <f t="shared" si="0"/>
        <v>0.375</v>
      </c>
      <c r="F17" s="176">
        <v>0.95</v>
      </c>
      <c r="G17" s="174">
        <f>ROUND((67086+22371+56999*2.6+237*2.6+17855)/12*11,0)</f>
        <v>234782</v>
      </c>
      <c r="H17" s="174">
        <v>264740</v>
      </c>
      <c r="I17" s="175">
        <f>H17/G17</f>
        <v>1.1275992197016806</v>
      </c>
      <c r="J17" s="176">
        <v>1</v>
      </c>
      <c r="K17" s="306">
        <f>J17*F17</f>
        <v>0.95</v>
      </c>
    </row>
    <row r="18" spans="1:11" ht="51.75" customHeight="1" x14ac:dyDescent="0.25">
      <c r="A18" s="432" t="s">
        <v>130</v>
      </c>
      <c r="B18" s="432"/>
      <c r="C18" s="432"/>
      <c r="D18" s="432"/>
      <c r="E18" s="432"/>
      <c r="F18" s="432"/>
      <c r="G18" s="432"/>
      <c r="H18" s="432"/>
      <c r="I18" s="432"/>
      <c r="J18" s="432"/>
      <c r="K18" s="432"/>
    </row>
    <row r="19" spans="1:11" ht="40.5" customHeight="1" x14ac:dyDescent="0.25">
      <c r="A19" s="433" t="s">
        <v>127</v>
      </c>
      <c r="B19" s="433"/>
      <c r="C19" s="433"/>
      <c r="D19" s="433"/>
      <c r="E19" s="433"/>
      <c r="F19" s="433"/>
      <c r="G19" s="433"/>
      <c r="H19" s="433"/>
      <c r="I19" s="433"/>
      <c r="J19" s="433"/>
      <c r="K19" s="433"/>
    </row>
    <row r="20" spans="1:11" ht="35.25" customHeight="1" x14ac:dyDescent="0.25">
      <c r="A20" s="434" t="s">
        <v>184</v>
      </c>
      <c r="B20" s="434"/>
      <c r="C20" s="434"/>
      <c r="D20" s="434"/>
      <c r="E20" s="434"/>
      <c r="F20" s="434"/>
      <c r="G20" s="434"/>
      <c r="H20" s="434"/>
      <c r="I20" s="434"/>
      <c r="J20" s="434"/>
      <c r="K20" s="434"/>
    </row>
  </sheetData>
  <mergeCells count="17">
    <mergeCell ref="A8:J8"/>
    <mergeCell ref="A5:J5"/>
    <mergeCell ref="A6:J6"/>
    <mergeCell ref="A14:A15"/>
    <mergeCell ref="F14:F15"/>
    <mergeCell ref="G14:G15"/>
    <mergeCell ref="H14:H15"/>
    <mergeCell ref="C11:F11"/>
    <mergeCell ref="A11:A12"/>
    <mergeCell ref="I14:I15"/>
    <mergeCell ref="J14:J15"/>
    <mergeCell ref="K14:K15"/>
    <mergeCell ref="K11:K12"/>
    <mergeCell ref="A18:K18"/>
    <mergeCell ref="A19:K19"/>
    <mergeCell ref="A20:K20"/>
    <mergeCell ref="G11:J11"/>
  </mergeCells>
  <pageMargins left="0.7" right="0.7" top="0.75" bottom="0.75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</sheetPr>
  <dimension ref="A1:U94"/>
  <sheetViews>
    <sheetView view="pageBreakPreview" zoomScale="80" zoomScaleNormal="100" zoomScaleSheetLayoutView="80" workbookViewId="0">
      <selection activeCell="M89" sqref="M89"/>
    </sheetView>
  </sheetViews>
  <sheetFormatPr defaultRowHeight="15.75" x14ac:dyDescent="0.25"/>
  <cols>
    <col min="1" max="1" width="19.5703125" style="118" customWidth="1"/>
    <col min="2" max="2" width="22" style="118" customWidth="1"/>
    <col min="3" max="3" width="23.7109375" style="118" customWidth="1"/>
    <col min="4" max="4" width="25" style="118" customWidth="1"/>
    <col min="5" max="5" width="21.28515625" style="118" customWidth="1"/>
    <col min="6" max="6" width="9.28515625" style="118" customWidth="1"/>
    <col min="7" max="7" width="15.140625" style="118" bestFit="1" customWidth="1"/>
    <col min="8" max="11" width="15" style="118" customWidth="1"/>
    <col min="12" max="12" width="9.28515625" style="118" bestFit="1" customWidth="1"/>
    <col min="13" max="13" width="9.28515625" style="118" customWidth="1"/>
    <col min="14" max="14" width="9.28515625" style="118" bestFit="1" customWidth="1"/>
    <col min="15" max="17" width="9.28515625" style="118" customWidth="1"/>
    <col min="18" max="18" width="9.5703125" style="118" bestFit="1" customWidth="1"/>
    <col min="19" max="19" width="9.5703125" style="118" customWidth="1"/>
    <col min="20" max="20" width="13.5703125" style="118" customWidth="1"/>
    <col min="21" max="16384" width="9.140625" style="118"/>
  </cols>
  <sheetData>
    <row r="1" spans="1:11" ht="16.5" x14ac:dyDescent="0.25">
      <c r="E1" s="88"/>
      <c r="F1" s="88" t="s">
        <v>200</v>
      </c>
    </row>
    <row r="2" spans="1:11" ht="16.5" x14ac:dyDescent="0.25">
      <c r="E2" s="98"/>
      <c r="F2" s="98" t="s">
        <v>78</v>
      </c>
    </row>
    <row r="3" spans="1:11" ht="16.5" x14ac:dyDescent="0.25">
      <c r="E3" s="98"/>
      <c r="F3" s="98" t="str">
        <f>МОБ!$R$3</f>
        <v>№ 17-03 от 19.12.2024</v>
      </c>
    </row>
    <row r="4" spans="1:11" x14ac:dyDescent="0.25">
      <c r="E4" s="163"/>
      <c r="F4" s="163"/>
    </row>
    <row r="5" spans="1:11" x14ac:dyDescent="0.25">
      <c r="E5" s="163"/>
      <c r="F5" s="163"/>
    </row>
    <row r="6" spans="1:11" ht="22.5" x14ac:dyDescent="0.3">
      <c r="A6" s="459" t="s">
        <v>155</v>
      </c>
      <c r="B6" s="459"/>
      <c r="C6" s="459"/>
      <c r="D6" s="459"/>
      <c r="E6" s="459"/>
      <c r="F6" s="459"/>
    </row>
    <row r="7" spans="1:11" ht="48.75" customHeight="1" x14ac:dyDescent="0.25">
      <c r="A7" s="460" t="s">
        <v>157</v>
      </c>
      <c r="B7" s="460"/>
      <c r="C7" s="460"/>
      <c r="D7" s="460"/>
      <c r="E7" s="460"/>
      <c r="F7" s="460"/>
    </row>
    <row r="8" spans="1:11" ht="28.5" customHeight="1" x14ac:dyDescent="0.3">
      <c r="A8" s="459" t="s">
        <v>191</v>
      </c>
      <c r="B8" s="459"/>
      <c r="C8" s="459"/>
      <c r="D8" s="459"/>
      <c r="E8" s="459"/>
      <c r="F8" s="459"/>
    </row>
    <row r="10" spans="1:11" ht="45.75" customHeight="1" x14ac:dyDescent="0.25">
      <c r="A10" s="463" t="s">
        <v>116</v>
      </c>
      <c r="B10" s="463"/>
      <c r="C10" s="463"/>
      <c r="D10" s="463"/>
      <c r="E10" s="463"/>
      <c r="F10" s="463"/>
    </row>
    <row r="12" spans="1:11" ht="57" customHeight="1" x14ac:dyDescent="0.3">
      <c r="A12" s="464" t="s">
        <v>139</v>
      </c>
      <c r="B12" s="464"/>
      <c r="C12" s="464"/>
      <c r="D12" s="464"/>
      <c r="E12" s="136">
        <v>6628249.0499999998</v>
      </c>
      <c r="F12" s="137" t="s">
        <v>87</v>
      </c>
      <c r="G12" s="123">
        <f>E12-E17</f>
        <v>0</v>
      </c>
    </row>
    <row r="14" spans="1:11" ht="44.25" customHeight="1" x14ac:dyDescent="0.3">
      <c r="A14" s="119" t="s">
        <v>117</v>
      </c>
      <c r="B14" s="457" t="s">
        <v>85</v>
      </c>
      <c r="C14" s="457"/>
      <c r="D14" s="457"/>
      <c r="E14" s="457"/>
      <c r="F14" s="457"/>
    </row>
    <row r="15" spans="1:11" ht="41.25" customHeight="1" x14ac:dyDescent="0.25">
      <c r="A15" s="461" t="s">
        <v>86</v>
      </c>
      <c r="B15" s="462"/>
      <c r="C15" s="462"/>
      <c r="D15" s="462"/>
      <c r="E15" s="462"/>
      <c r="F15" s="462"/>
    </row>
    <row r="16" spans="1:11" ht="26.25" customHeight="1" x14ac:dyDescent="0.25">
      <c r="A16" s="120"/>
      <c r="B16" s="121"/>
      <c r="C16" s="122"/>
      <c r="D16" s="122"/>
      <c r="E16" s="122"/>
      <c r="F16" s="122"/>
      <c r="H16" s="123"/>
      <c r="I16" s="123"/>
      <c r="J16" s="123"/>
      <c r="K16" s="123"/>
    </row>
    <row r="17" spans="1:21" ht="45.75" customHeight="1" x14ac:dyDescent="0.3">
      <c r="A17" s="121"/>
      <c r="B17" s="451" t="s">
        <v>104</v>
      </c>
      <c r="C17" s="451"/>
      <c r="D17" s="451"/>
      <c r="E17" s="124">
        <f>E12</f>
        <v>6628249.0499999998</v>
      </c>
      <c r="F17" s="118" t="s">
        <v>87</v>
      </c>
      <c r="G17" s="153">
        <f>E30+E39+E50-(E17*70%)</f>
        <v>-4.999999888241291E-3</v>
      </c>
      <c r="H17" s="123"/>
      <c r="I17" s="123"/>
      <c r="J17" s="123"/>
      <c r="K17" s="123"/>
    </row>
    <row r="18" spans="1:21" ht="18.75" x14ac:dyDescent="0.3">
      <c r="E18" s="125"/>
      <c r="G18" s="154"/>
      <c r="H18" s="123"/>
      <c r="I18" s="123"/>
      <c r="J18" s="123"/>
      <c r="K18" s="123"/>
    </row>
    <row r="19" spans="1:21" ht="31.5" customHeight="1" x14ac:dyDescent="0.3">
      <c r="A19" s="121"/>
      <c r="B19" s="451" t="s">
        <v>88</v>
      </c>
      <c r="C19" s="451"/>
      <c r="D19" s="451"/>
      <c r="E19" s="328">
        <f>ROUND(U19,4)</f>
        <v>89186.166700000002</v>
      </c>
      <c r="F19" s="118" t="s">
        <v>89</v>
      </c>
      <c r="G19" s="155">
        <f>E28+E37+E48-E19</f>
        <v>-1.0000000474974513E-4</v>
      </c>
      <c r="H19" s="167">
        <f t="shared" ref="H19:S19" si="0">H28+H37+H48</f>
        <v>84453</v>
      </c>
      <c r="I19" s="167">
        <f t="shared" si="0"/>
        <v>84538</v>
      </c>
      <c r="J19" s="167">
        <f t="shared" si="0"/>
        <v>88006</v>
      </c>
      <c r="K19" s="167">
        <f t="shared" si="0"/>
        <v>90067</v>
      </c>
      <c r="L19" s="167">
        <f t="shared" si="0"/>
        <v>89940</v>
      </c>
      <c r="M19" s="167">
        <f t="shared" si="0"/>
        <v>90682</v>
      </c>
      <c r="N19" s="167">
        <f t="shared" si="0"/>
        <v>90686</v>
      </c>
      <c r="O19" s="167">
        <f t="shared" si="0"/>
        <v>90845</v>
      </c>
      <c r="P19" s="167">
        <f t="shared" si="0"/>
        <v>90559</v>
      </c>
      <c r="Q19" s="167">
        <f t="shared" si="0"/>
        <v>90344</v>
      </c>
      <c r="R19" s="167">
        <f t="shared" si="0"/>
        <v>89942</v>
      </c>
      <c r="S19" s="167">
        <f t="shared" si="0"/>
        <v>90172</v>
      </c>
      <c r="T19" s="165">
        <f>SUM(H19:S19)</f>
        <v>1070234</v>
      </c>
      <c r="U19" s="165">
        <f>T19/12</f>
        <v>89186.166666666672</v>
      </c>
    </row>
    <row r="20" spans="1:21" ht="44.25" customHeight="1" x14ac:dyDescent="0.3">
      <c r="E20" s="125"/>
      <c r="H20" s="118" t="s">
        <v>105</v>
      </c>
      <c r="I20" s="118" t="s">
        <v>146</v>
      </c>
      <c r="J20" s="118" t="s">
        <v>147</v>
      </c>
      <c r="K20" s="118" t="s">
        <v>148</v>
      </c>
      <c r="L20" s="118" t="s">
        <v>108</v>
      </c>
      <c r="M20" s="118" t="s">
        <v>109</v>
      </c>
      <c r="N20" s="118" t="s">
        <v>110</v>
      </c>
      <c r="O20" s="118" t="s">
        <v>111</v>
      </c>
      <c r="P20" s="118" t="s">
        <v>149</v>
      </c>
      <c r="Q20" s="118" t="s">
        <v>150</v>
      </c>
      <c r="R20" s="118" t="s">
        <v>112</v>
      </c>
      <c r="S20" s="118" t="s">
        <v>151</v>
      </c>
    </row>
    <row r="21" spans="1:21" ht="64.5" customHeight="1" x14ac:dyDescent="0.3">
      <c r="B21" s="451" t="s">
        <v>183</v>
      </c>
      <c r="C21" s="451"/>
      <c r="D21" s="451"/>
      <c r="E21" s="309">
        <f>IFERROR((G21)/E19,0)</f>
        <v>54.761552892260369</v>
      </c>
      <c r="F21" s="118" t="s">
        <v>87</v>
      </c>
      <c r="G21" s="307">
        <f>E17*0.7+244198.65</f>
        <v>4883972.9850000003</v>
      </c>
      <c r="H21" s="326">
        <v>122979</v>
      </c>
      <c r="I21" s="326">
        <v>123041</v>
      </c>
      <c r="J21" s="326">
        <v>127159</v>
      </c>
      <c r="K21" s="326">
        <v>127760</v>
      </c>
      <c r="L21" s="326">
        <v>127527</v>
      </c>
      <c r="M21" s="326">
        <v>128240</v>
      </c>
      <c r="N21" s="326">
        <v>128181</v>
      </c>
      <c r="O21" s="326">
        <v>127864</v>
      </c>
      <c r="P21" s="326">
        <v>127376</v>
      </c>
      <c r="Q21" s="326">
        <v>127022</v>
      </c>
      <c r="R21" s="326">
        <v>126297</v>
      </c>
      <c r="S21" s="326">
        <v>126270</v>
      </c>
      <c r="T21" s="129">
        <f>SUM(H21:S21)</f>
        <v>1519716</v>
      </c>
      <c r="U21" s="129">
        <f>T21/12</f>
        <v>126643</v>
      </c>
    </row>
    <row r="22" spans="1:21" ht="64.5" customHeight="1" x14ac:dyDescent="0.3">
      <c r="B22" s="451" t="s">
        <v>182</v>
      </c>
      <c r="C22" s="451"/>
      <c r="D22" s="451"/>
      <c r="E22" s="159">
        <f>IFERROR((0.7*E17)/U21,0)</f>
        <v>36.636642649021262</v>
      </c>
      <c r="F22" s="118" t="s">
        <v>87</v>
      </c>
      <c r="H22" s="127">
        <f>H21-H19</f>
        <v>38526</v>
      </c>
      <c r="I22" s="127">
        <f t="shared" ref="I22:U22" si="1">I21-I19</f>
        <v>38503</v>
      </c>
      <c r="J22" s="127">
        <f t="shared" si="1"/>
        <v>39153</v>
      </c>
      <c r="K22" s="127">
        <f t="shared" si="1"/>
        <v>37693</v>
      </c>
      <c r="L22" s="127">
        <f t="shared" si="1"/>
        <v>37587</v>
      </c>
      <c r="M22" s="127">
        <f t="shared" si="1"/>
        <v>37558</v>
      </c>
      <c r="N22" s="127">
        <f t="shared" si="1"/>
        <v>37495</v>
      </c>
      <c r="O22" s="127">
        <f t="shared" si="1"/>
        <v>37019</v>
      </c>
      <c r="P22" s="127">
        <f t="shared" si="1"/>
        <v>36817</v>
      </c>
      <c r="Q22" s="127">
        <f t="shared" si="1"/>
        <v>36678</v>
      </c>
      <c r="R22" s="127">
        <f t="shared" si="1"/>
        <v>36355</v>
      </c>
      <c r="S22" s="127">
        <f t="shared" si="1"/>
        <v>36098</v>
      </c>
      <c r="T22" s="127">
        <f t="shared" si="1"/>
        <v>449482</v>
      </c>
      <c r="U22" s="127">
        <f t="shared" si="1"/>
        <v>37456.833333333328</v>
      </c>
    </row>
    <row r="23" spans="1:21" ht="30.75" customHeight="1" x14ac:dyDescent="0.25"/>
    <row r="24" spans="1:21" ht="54" customHeight="1" x14ac:dyDescent="0.3">
      <c r="A24" s="452" t="s">
        <v>113</v>
      </c>
      <c r="B24" s="453"/>
      <c r="C24" s="453"/>
      <c r="D24" s="453"/>
      <c r="E24" s="453"/>
      <c r="F24" s="453"/>
    </row>
    <row r="26" spans="1:21" ht="27" customHeight="1" x14ac:dyDescent="0.25">
      <c r="B26" s="121"/>
    </row>
    <row r="27" spans="1:21" x14ac:dyDescent="0.25">
      <c r="A27" s="118" t="s">
        <v>90</v>
      </c>
    </row>
    <row r="28" spans="1:21" ht="28.5" customHeight="1" x14ac:dyDescent="0.3">
      <c r="A28" s="121"/>
      <c r="B28" s="451" t="s">
        <v>103</v>
      </c>
      <c r="C28" s="451"/>
      <c r="D28" s="451"/>
      <c r="E28" s="126">
        <f>ROUND(U28,4)</f>
        <v>0</v>
      </c>
      <c r="F28" s="118" t="s">
        <v>89</v>
      </c>
      <c r="G28" s="148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64"/>
    </row>
    <row r="29" spans="1:21" ht="18.75" x14ac:dyDescent="0.3">
      <c r="E29" s="126"/>
      <c r="H29" s="122" t="s">
        <v>105</v>
      </c>
      <c r="I29" s="122" t="s">
        <v>146</v>
      </c>
      <c r="J29" s="122" t="s">
        <v>147</v>
      </c>
      <c r="K29" s="122" t="s">
        <v>148</v>
      </c>
      <c r="L29" s="122" t="s">
        <v>108</v>
      </c>
      <c r="M29" s="122" t="s">
        <v>109</v>
      </c>
      <c r="N29" s="122" t="s">
        <v>110</v>
      </c>
      <c r="O29" s="122" t="s">
        <v>111</v>
      </c>
      <c r="P29" s="122" t="s">
        <v>149</v>
      </c>
      <c r="Q29" s="122" t="s">
        <v>150</v>
      </c>
      <c r="R29" s="122" t="s">
        <v>112</v>
      </c>
      <c r="S29" s="122" t="s">
        <v>151</v>
      </c>
    </row>
    <row r="30" spans="1:21" ht="29.25" customHeight="1" x14ac:dyDescent="0.3">
      <c r="A30" s="121"/>
      <c r="B30" s="451" t="s">
        <v>142</v>
      </c>
      <c r="C30" s="451"/>
      <c r="D30" s="451"/>
      <c r="E30" s="141">
        <f>IFERROR(ROUND($E$31*E28,2),0)</f>
        <v>0</v>
      </c>
      <c r="F30" s="118" t="s">
        <v>87</v>
      </c>
      <c r="G30" s="139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</row>
    <row r="31" spans="1:21" ht="61.5" customHeight="1" x14ac:dyDescent="0.3">
      <c r="A31" s="121"/>
      <c r="B31" s="451" t="s">
        <v>183</v>
      </c>
      <c r="C31" s="451"/>
      <c r="D31" s="451"/>
      <c r="E31" s="310">
        <f>$E$21*'Прил_3_Доп. критерии'!$K$14</f>
        <v>52.023475247647347</v>
      </c>
      <c r="F31" s="118" t="s">
        <v>87</v>
      </c>
      <c r="G31" s="139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</row>
    <row r="32" spans="1:21" s="145" customFormat="1" ht="45.75" customHeight="1" x14ac:dyDescent="0.35">
      <c r="A32" s="142"/>
      <c r="B32" s="143"/>
      <c r="C32" s="143"/>
      <c r="D32" s="143"/>
      <c r="E32" s="144"/>
      <c r="H32" s="146"/>
      <c r="I32" s="146"/>
      <c r="J32" s="146"/>
      <c r="K32" s="146"/>
    </row>
    <row r="33" spans="1:21" ht="54" customHeight="1" x14ac:dyDescent="0.3">
      <c r="A33" s="452" t="s">
        <v>114</v>
      </c>
      <c r="B33" s="453"/>
      <c r="C33" s="453"/>
      <c r="D33" s="453"/>
      <c r="E33" s="453"/>
      <c r="F33" s="453"/>
    </row>
    <row r="35" spans="1:21" ht="27" customHeight="1" x14ac:dyDescent="0.25">
      <c r="B35" s="121"/>
    </row>
    <row r="36" spans="1:21" x14ac:dyDescent="0.25">
      <c r="A36" s="118" t="s">
        <v>90</v>
      </c>
    </row>
    <row r="37" spans="1:21" ht="28.5" customHeight="1" x14ac:dyDescent="0.3">
      <c r="A37" s="121"/>
      <c r="B37" s="451" t="s">
        <v>103</v>
      </c>
      <c r="C37" s="451"/>
      <c r="D37" s="451"/>
      <c r="E37" s="147">
        <f>ROUND(U37,4)</f>
        <v>18129.833299999998</v>
      </c>
      <c r="F37" s="118" t="s">
        <v>89</v>
      </c>
      <c r="G37" s="148"/>
      <c r="H37" s="170">
        <v>17053</v>
      </c>
      <c r="I37" s="170">
        <v>17062</v>
      </c>
      <c r="J37" s="170">
        <v>18537</v>
      </c>
      <c r="K37" s="170">
        <v>18533</v>
      </c>
      <c r="L37" s="170">
        <v>18582</v>
      </c>
      <c r="M37" s="170">
        <v>18521</v>
      </c>
      <c r="N37" s="170">
        <v>18323</v>
      </c>
      <c r="O37" s="170">
        <v>18360</v>
      </c>
      <c r="P37" s="170">
        <v>18203</v>
      </c>
      <c r="Q37" s="170">
        <v>18150</v>
      </c>
      <c r="R37" s="170">
        <v>17981</v>
      </c>
      <c r="S37" s="170">
        <v>18253</v>
      </c>
      <c r="T37" s="172">
        <f>SUM(H37:S37)</f>
        <v>217558</v>
      </c>
      <c r="U37" s="172">
        <f>T37/12</f>
        <v>18129.833333333332</v>
      </c>
    </row>
    <row r="38" spans="1:21" ht="18.75" x14ac:dyDescent="0.3">
      <c r="E38" s="126"/>
      <c r="H38" s="172" t="s">
        <v>105</v>
      </c>
      <c r="I38" s="172" t="s">
        <v>146</v>
      </c>
      <c r="J38" s="172" t="s">
        <v>147</v>
      </c>
      <c r="K38" s="172" t="s">
        <v>148</v>
      </c>
      <c r="L38" s="172" t="s">
        <v>108</v>
      </c>
      <c r="M38" s="172" t="s">
        <v>109</v>
      </c>
      <c r="N38" s="172" t="s">
        <v>110</v>
      </c>
      <c r="O38" s="172" t="s">
        <v>111</v>
      </c>
      <c r="P38" s="172" t="s">
        <v>149</v>
      </c>
      <c r="Q38" s="172" t="s">
        <v>150</v>
      </c>
      <c r="R38" s="172" t="s">
        <v>112</v>
      </c>
      <c r="S38" s="172" t="s">
        <v>151</v>
      </c>
      <c r="T38" s="172"/>
      <c r="U38" s="133"/>
    </row>
    <row r="39" spans="1:21" ht="29.25" customHeight="1" x14ac:dyDescent="0.3">
      <c r="A39" s="121"/>
      <c r="B39" s="451" t="s">
        <v>107</v>
      </c>
      <c r="C39" s="451"/>
      <c r="D39" s="451"/>
      <c r="E39" s="141">
        <f>IFERROR(ROUND($E$40*E37,2),0)</f>
        <v>943176.93</v>
      </c>
      <c r="F39" s="118" t="s">
        <v>87</v>
      </c>
      <c r="G39" s="139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</row>
    <row r="40" spans="1:21" ht="75.75" customHeight="1" x14ac:dyDescent="0.3">
      <c r="A40" s="121"/>
      <c r="B40" s="451" t="s">
        <v>183</v>
      </c>
      <c r="C40" s="451"/>
      <c r="D40" s="451"/>
      <c r="E40" s="310">
        <f>$E$21*'Прил_3_Доп. критерии'!$K$16</f>
        <v>52.023475247647347</v>
      </c>
      <c r="F40" s="118" t="s">
        <v>87</v>
      </c>
      <c r="G40" s="139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</row>
    <row r="41" spans="1:21" ht="15.75" customHeight="1" x14ac:dyDescent="0.25">
      <c r="A41" s="128" t="s">
        <v>91</v>
      </c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</row>
    <row r="42" spans="1:21" ht="14.25" customHeight="1" x14ac:dyDescent="0.25">
      <c r="A42" s="129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</row>
    <row r="44" spans="1:21" ht="54" customHeight="1" x14ac:dyDescent="0.3">
      <c r="A44" s="452" t="s">
        <v>115</v>
      </c>
      <c r="B44" s="453"/>
      <c r="C44" s="453"/>
      <c r="D44" s="453"/>
      <c r="E44" s="453"/>
      <c r="F44" s="453"/>
    </row>
    <row r="46" spans="1:21" ht="27" customHeight="1" x14ac:dyDescent="0.25">
      <c r="B46" s="121"/>
    </row>
    <row r="47" spans="1:21" x14ac:dyDescent="0.25">
      <c r="A47" s="118" t="s">
        <v>90</v>
      </c>
    </row>
    <row r="48" spans="1:21" ht="28.5" customHeight="1" x14ac:dyDescent="0.3">
      <c r="A48" s="121"/>
      <c r="B48" s="451" t="s">
        <v>103</v>
      </c>
      <c r="C48" s="451"/>
      <c r="D48" s="451"/>
      <c r="E48" s="147">
        <f>ROUND(U48,4)</f>
        <v>71056.333299999998</v>
      </c>
      <c r="F48" s="118" t="s">
        <v>89</v>
      </c>
      <c r="G48" s="148"/>
      <c r="H48" s="166">
        <v>67400</v>
      </c>
      <c r="I48" s="166">
        <v>67476</v>
      </c>
      <c r="J48" s="166">
        <v>69469</v>
      </c>
      <c r="K48" s="166">
        <v>71534</v>
      </c>
      <c r="L48" s="166">
        <v>71358</v>
      </c>
      <c r="M48" s="166">
        <v>72161</v>
      </c>
      <c r="N48" s="166">
        <v>72363</v>
      </c>
      <c r="O48" s="166">
        <v>72485</v>
      </c>
      <c r="P48" s="166">
        <v>72356</v>
      </c>
      <c r="Q48" s="166">
        <v>72194</v>
      </c>
      <c r="R48" s="166">
        <v>71961</v>
      </c>
      <c r="S48" s="166">
        <v>71919</v>
      </c>
      <c r="T48" s="166">
        <f>SUM(H48:S48)</f>
        <v>852676</v>
      </c>
      <c r="U48" s="164">
        <f>T48/12</f>
        <v>71056.333333333328</v>
      </c>
    </row>
    <row r="49" spans="1:20" ht="18.75" x14ac:dyDescent="0.3">
      <c r="E49" s="126"/>
      <c r="H49" s="118" t="s">
        <v>105</v>
      </c>
      <c r="I49" s="118" t="s">
        <v>146</v>
      </c>
      <c r="J49" s="118" t="s">
        <v>147</v>
      </c>
      <c r="K49" s="118" t="s">
        <v>148</v>
      </c>
      <c r="L49" s="118" t="s">
        <v>108</v>
      </c>
      <c r="M49" s="118" t="s">
        <v>109</v>
      </c>
      <c r="N49" s="118" t="s">
        <v>110</v>
      </c>
      <c r="O49" s="118" t="s">
        <v>111</v>
      </c>
      <c r="P49" s="118" t="s">
        <v>149</v>
      </c>
      <c r="Q49" s="118" t="s">
        <v>150</v>
      </c>
      <c r="R49" s="118" t="s">
        <v>112</v>
      </c>
      <c r="S49" s="118" t="s">
        <v>151</v>
      </c>
    </row>
    <row r="50" spans="1:20" ht="29.25" customHeight="1" x14ac:dyDescent="0.3">
      <c r="A50" s="121"/>
      <c r="B50" s="451" t="s">
        <v>107</v>
      </c>
      <c r="C50" s="451"/>
      <c r="D50" s="451"/>
      <c r="E50" s="141">
        <f>IFERROR(ROUND($E$51*E48,2),0)</f>
        <v>3696597.4</v>
      </c>
      <c r="F50" s="118" t="s">
        <v>87</v>
      </c>
      <c r="G50" s="139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</row>
    <row r="51" spans="1:20" ht="76.5" customHeight="1" x14ac:dyDescent="0.3">
      <c r="A51" s="121"/>
      <c r="B51" s="451" t="s">
        <v>183</v>
      </c>
      <c r="C51" s="451"/>
      <c r="D51" s="451"/>
      <c r="E51" s="310">
        <f>$E$21*'Прил_3_Доп. критерии'!$K$17</f>
        <v>52.023475247647347</v>
      </c>
      <c r="F51" s="118" t="s">
        <v>87</v>
      </c>
      <c r="G51" s="139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</row>
    <row r="52" spans="1:20" s="145" customFormat="1" ht="45.75" customHeight="1" x14ac:dyDescent="0.35">
      <c r="A52" s="142"/>
      <c r="B52" s="143"/>
      <c r="C52" s="143"/>
      <c r="D52" s="143"/>
      <c r="E52" s="144"/>
      <c r="H52" s="146"/>
      <c r="I52" s="146"/>
      <c r="J52" s="146"/>
      <c r="K52" s="146"/>
    </row>
    <row r="53" spans="1:20" ht="50.25" customHeight="1" x14ac:dyDescent="0.3">
      <c r="A53" s="119" t="s">
        <v>118</v>
      </c>
      <c r="B53" s="457" t="s">
        <v>92</v>
      </c>
      <c r="C53" s="457"/>
      <c r="D53" s="457"/>
      <c r="E53" s="457"/>
      <c r="F53" s="457"/>
    </row>
    <row r="55" spans="1:20" ht="33" customHeight="1" x14ac:dyDescent="0.25">
      <c r="A55" s="454" t="s">
        <v>93</v>
      </c>
      <c r="B55" s="458"/>
      <c r="C55" s="458"/>
      <c r="D55" s="458"/>
      <c r="E55" s="458"/>
      <c r="F55" s="458"/>
    </row>
    <row r="57" spans="1:20" ht="36.75" customHeight="1" x14ac:dyDescent="0.25">
      <c r="B57" s="121"/>
    </row>
    <row r="59" spans="1:20" ht="45.75" customHeight="1" x14ac:dyDescent="0.3">
      <c r="A59" s="121"/>
      <c r="B59" s="451" t="s">
        <v>104</v>
      </c>
      <c r="C59" s="451"/>
      <c r="D59" s="451"/>
      <c r="E59" s="124">
        <f>E12</f>
        <v>6628249.0499999998</v>
      </c>
      <c r="F59" s="118" t="s">
        <v>87</v>
      </c>
    </row>
    <row r="61" spans="1:20" ht="31.5" customHeight="1" x14ac:dyDescent="0.25">
      <c r="A61" s="131" t="s">
        <v>94</v>
      </c>
      <c r="B61" s="451" t="s">
        <v>95</v>
      </c>
      <c r="C61" s="451"/>
      <c r="D61" s="451"/>
      <c r="E61" s="118">
        <f>МОЦОМиД!U36+'Городская поликлиника'!U36</f>
        <v>14</v>
      </c>
      <c r="F61" s="118" t="s">
        <v>138</v>
      </c>
    </row>
    <row r="63" spans="1:20" x14ac:dyDescent="0.25">
      <c r="A63" s="121"/>
    </row>
    <row r="64" spans="1:20" ht="63" customHeight="1" x14ac:dyDescent="0.3">
      <c r="A64" s="121"/>
      <c r="B64" s="451" t="s">
        <v>96</v>
      </c>
      <c r="C64" s="451"/>
      <c r="D64" s="451"/>
      <c r="E64" s="347">
        <f>ROUND(E59*30%/E61,4)</f>
        <v>142033.90820000001</v>
      </c>
      <c r="F64" s="118" t="s">
        <v>87</v>
      </c>
    </row>
    <row r="66" spans="1:7" ht="49.5" customHeight="1" x14ac:dyDescent="0.25">
      <c r="A66" s="454" t="s">
        <v>97</v>
      </c>
      <c r="B66" s="454"/>
      <c r="C66" s="454"/>
      <c r="D66" s="454"/>
      <c r="E66" s="454"/>
      <c r="F66" s="454"/>
    </row>
    <row r="68" spans="1:7" ht="32.25" customHeight="1" x14ac:dyDescent="0.25">
      <c r="B68" s="121"/>
    </row>
    <row r="70" spans="1:7" ht="21.75" customHeight="1" x14ac:dyDescent="0.25">
      <c r="A70" s="121"/>
      <c r="B70" s="118" t="s">
        <v>98</v>
      </c>
    </row>
    <row r="73" spans="1:7" ht="60.75" customHeight="1" x14ac:dyDescent="0.25">
      <c r="A73" s="455" t="s">
        <v>99</v>
      </c>
      <c r="B73" s="456"/>
      <c r="C73" s="456"/>
      <c r="D73" s="456"/>
      <c r="E73" s="456"/>
      <c r="F73" s="456"/>
    </row>
    <row r="76" spans="1:7" ht="54" customHeight="1" x14ac:dyDescent="0.3">
      <c r="A76" s="452" t="s">
        <v>197</v>
      </c>
      <c r="B76" s="453"/>
      <c r="C76" s="453"/>
      <c r="D76" s="453"/>
      <c r="E76" s="453"/>
      <c r="F76" s="453"/>
    </row>
    <row r="78" spans="1:7" ht="27" customHeight="1" x14ac:dyDescent="0.25">
      <c r="B78" s="450"/>
      <c r="C78" s="450"/>
    </row>
    <row r="79" spans="1:7" x14ac:dyDescent="0.25">
      <c r="A79" s="118" t="s">
        <v>90</v>
      </c>
    </row>
    <row r="80" spans="1:7" ht="36" customHeight="1" x14ac:dyDescent="0.3">
      <c r="A80"/>
      <c r="B80" s="451" t="s">
        <v>141</v>
      </c>
      <c r="C80" s="451"/>
      <c r="D80" s="451"/>
      <c r="E80" s="141">
        <f>ROUND(E82*E84,2)</f>
        <v>710169.54</v>
      </c>
      <c r="F80" s="118" t="s">
        <v>87</v>
      </c>
      <c r="G80" s="139"/>
    </row>
    <row r="81" spans="1:21" ht="9" customHeight="1" x14ac:dyDescent="0.3">
      <c r="A81" s="158"/>
      <c r="B81" s="132"/>
      <c r="C81" s="132"/>
      <c r="D81" s="132"/>
      <c r="E81" s="141"/>
    </row>
    <row r="82" spans="1:21" ht="34.5" customHeight="1" x14ac:dyDescent="0.3">
      <c r="A82" s="343"/>
      <c r="B82" s="451" t="s">
        <v>196</v>
      </c>
      <c r="C82" s="451"/>
      <c r="D82" s="451"/>
      <c r="E82" s="345">
        <f>МОЦОМиД!U36</f>
        <v>5</v>
      </c>
      <c r="F82" s="118" t="s">
        <v>138</v>
      </c>
      <c r="G82" s="148"/>
      <c r="H82" s="170"/>
      <c r="I82" s="170"/>
      <c r="J82" s="170"/>
      <c r="K82" s="170"/>
      <c r="L82" s="170"/>
      <c r="M82" s="170"/>
      <c r="N82" s="170"/>
      <c r="O82" s="170"/>
      <c r="P82" s="170"/>
      <c r="Q82" s="170"/>
      <c r="R82" s="170"/>
      <c r="S82" s="170"/>
      <c r="T82" s="172"/>
      <c r="U82" s="172"/>
    </row>
    <row r="83" spans="1:21" ht="15.75" customHeight="1" x14ac:dyDescent="0.3">
      <c r="E83" s="126"/>
      <c r="H83" s="172"/>
      <c r="I83" s="172"/>
      <c r="J83" s="172"/>
      <c r="K83" s="172"/>
      <c r="L83" s="172"/>
      <c r="M83" s="172"/>
      <c r="N83" s="172"/>
      <c r="O83" s="172"/>
      <c r="P83" s="172"/>
      <c r="Q83" s="172"/>
      <c r="R83" s="172"/>
      <c r="S83" s="172"/>
      <c r="T83" s="172"/>
      <c r="U83" s="133"/>
    </row>
    <row r="84" spans="1:21" ht="66" customHeight="1" x14ac:dyDescent="0.3">
      <c r="A84" s="158"/>
      <c r="B84" s="451" t="s">
        <v>96</v>
      </c>
      <c r="C84" s="451"/>
      <c r="D84" s="451"/>
      <c r="E84" s="348">
        <f>E64</f>
        <v>142033.90820000001</v>
      </c>
      <c r="F84" s="118" t="s">
        <v>87</v>
      </c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7"/>
    </row>
    <row r="86" spans="1:21" ht="60.75" customHeight="1" x14ac:dyDescent="0.3">
      <c r="A86" s="452" t="s">
        <v>198</v>
      </c>
      <c r="B86" s="453"/>
      <c r="C86" s="453"/>
      <c r="D86" s="453"/>
      <c r="E86" s="453"/>
      <c r="F86" s="453"/>
    </row>
    <row r="88" spans="1:21" ht="33" customHeight="1" x14ac:dyDescent="0.25">
      <c r="B88" s="450"/>
      <c r="C88" s="450"/>
    </row>
    <row r="89" spans="1:21" ht="33" customHeight="1" x14ac:dyDescent="0.25">
      <c r="A89" s="118" t="s">
        <v>90</v>
      </c>
    </row>
    <row r="90" spans="1:21" ht="33" customHeight="1" x14ac:dyDescent="0.3">
      <c r="A90"/>
      <c r="B90" s="451" t="s">
        <v>141</v>
      </c>
      <c r="C90" s="451"/>
      <c r="D90" s="451"/>
      <c r="E90" s="141">
        <f>ROUND(E92*E94,2)+0.01</f>
        <v>1278305.18</v>
      </c>
      <c r="F90" s="118" t="s">
        <v>87</v>
      </c>
    </row>
    <row r="91" spans="1:21" ht="12" customHeight="1" x14ac:dyDescent="0.3">
      <c r="A91" s="158"/>
      <c r="B91" s="325"/>
      <c r="C91" s="325"/>
      <c r="D91" s="325"/>
      <c r="E91" s="141"/>
    </row>
    <row r="92" spans="1:21" ht="33" customHeight="1" x14ac:dyDescent="0.3">
      <c r="A92" s="343"/>
      <c r="B92" s="451" t="s">
        <v>196</v>
      </c>
      <c r="C92" s="451"/>
      <c r="D92" s="451"/>
      <c r="E92" s="345">
        <f>'Городская поликлиника'!U36</f>
        <v>9</v>
      </c>
      <c r="F92" s="118" t="s">
        <v>138</v>
      </c>
    </row>
    <row r="93" spans="1:21" ht="17.25" customHeight="1" x14ac:dyDescent="0.3">
      <c r="E93" s="126"/>
    </row>
    <row r="94" spans="1:21" ht="54" customHeight="1" x14ac:dyDescent="0.3">
      <c r="A94" s="158"/>
      <c r="B94" s="451" t="s">
        <v>96</v>
      </c>
      <c r="C94" s="451"/>
      <c r="D94" s="451"/>
      <c r="E94" s="348">
        <f>E64</f>
        <v>142033.90820000001</v>
      </c>
      <c r="F94" s="118" t="s">
        <v>87</v>
      </c>
    </row>
  </sheetData>
  <mergeCells count="40">
    <mergeCell ref="A6:F6"/>
    <mergeCell ref="A7:F7"/>
    <mergeCell ref="A8:F8"/>
    <mergeCell ref="B14:F14"/>
    <mergeCell ref="A15:F15"/>
    <mergeCell ref="A10:F10"/>
    <mergeCell ref="A12:D12"/>
    <mergeCell ref="A33:F33"/>
    <mergeCell ref="B37:D37"/>
    <mergeCell ref="B39:D39"/>
    <mergeCell ref="B17:D17"/>
    <mergeCell ref="B21:D21"/>
    <mergeCell ref="A24:F24"/>
    <mergeCell ref="B28:D28"/>
    <mergeCell ref="B30:D30"/>
    <mergeCell ref="B19:D19"/>
    <mergeCell ref="B22:D22"/>
    <mergeCell ref="B53:F53"/>
    <mergeCell ref="A55:F55"/>
    <mergeCell ref="B59:D59"/>
    <mergeCell ref="B82:D82"/>
    <mergeCell ref="B84:D84"/>
    <mergeCell ref="B78:C78"/>
    <mergeCell ref="B80:D80"/>
    <mergeCell ref="B88:C88"/>
    <mergeCell ref="B90:D90"/>
    <mergeCell ref="B92:D92"/>
    <mergeCell ref="B94:D94"/>
    <mergeCell ref="B31:D31"/>
    <mergeCell ref="B40:D40"/>
    <mergeCell ref="B51:D51"/>
    <mergeCell ref="A86:F86"/>
    <mergeCell ref="A76:F76"/>
    <mergeCell ref="B48:D48"/>
    <mergeCell ref="B50:D50"/>
    <mergeCell ref="A44:F44"/>
    <mergeCell ref="B61:D61"/>
    <mergeCell ref="B64:D64"/>
    <mergeCell ref="A66:F66"/>
    <mergeCell ref="A73:F73"/>
  </mergeCells>
  <pageMargins left="0.7" right="0.7" top="0.75" bottom="0.75" header="0.3" footer="0.3"/>
  <pageSetup paperSize="9" scale="72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U74"/>
  <sheetViews>
    <sheetView view="pageBreakPreview" zoomScale="80" zoomScaleNormal="100" zoomScaleSheetLayoutView="80" workbookViewId="0">
      <selection activeCell="F2" sqref="F2"/>
    </sheetView>
  </sheetViews>
  <sheetFormatPr defaultRowHeight="15.75" x14ac:dyDescent="0.25"/>
  <cols>
    <col min="1" max="1" width="19.5703125" style="118" customWidth="1"/>
    <col min="2" max="2" width="22" style="118" customWidth="1"/>
    <col min="3" max="3" width="23.7109375" style="118" customWidth="1"/>
    <col min="4" max="4" width="25" style="118" customWidth="1"/>
    <col min="5" max="5" width="21.28515625" style="118" customWidth="1"/>
    <col min="6" max="6" width="9.28515625" style="118" customWidth="1"/>
    <col min="7" max="7" width="15.140625" style="118" bestFit="1" customWidth="1"/>
    <col min="8" max="11" width="15" style="118" customWidth="1"/>
    <col min="12" max="12" width="9.28515625" style="118" bestFit="1" customWidth="1"/>
    <col min="13" max="13" width="9.28515625" style="118" customWidth="1"/>
    <col min="14" max="14" width="9.28515625" style="118" bestFit="1" customWidth="1"/>
    <col min="15" max="17" width="9.28515625" style="118" customWidth="1"/>
    <col min="18" max="18" width="9.5703125" style="118" bestFit="1" customWidth="1"/>
    <col min="19" max="19" width="9.5703125" style="118" customWidth="1"/>
    <col min="20" max="21" width="15.5703125" style="118" customWidth="1"/>
    <col min="22" max="16384" width="9.140625" style="118"/>
  </cols>
  <sheetData>
    <row r="1" spans="1:21" ht="16.5" x14ac:dyDescent="0.25">
      <c r="E1" s="88"/>
      <c r="F1" s="88" t="s">
        <v>200</v>
      </c>
    </row>
    <row r="2" spans="1:21" ht="16.5" x14ac:dyDescent="0.25">
      <c r="E2" s="98"/>
      <c r="F2" s="98" t="s">
        <v>78</v>
      </c>
    </row>
    <row r="3" spans="1:21" ht="16.5" x14ac:dyDescent="0.25">
      <c r="E3" s="163"/>
      <c r="F3" s="98" t="str">
        <f>МОБ!$R$3</f>
        <v>№ 17-03 от 19.12.2024</v>
      </c>
    </row>
    <row r="5" spans="1:21" ht="45.75" customHeight="1" x14ac:dyDescent="0.25">
      <c r="A5" s="463" t="s">
        <v>100</v>
      </c>
      <c r="B5" s="463"/>
      <c r="C5" s="463"/>
      <c r="D5" s="463"/>
      <c r="E5" s="463"/>
      <c r="F5" s="463"/>
    </row>
    <row r="7" spans="1:21" ht="57" customHeight="1" x14ac:dyDescent="0.3">
      <c r="A7" s="464" t="s">
        <v>139</v>
      </c>
      <c r="B7" s="464"/>
      <c r="C7" s="464"/>
      <c r="D7" s="464"/>
      <c r="E7" s="136">
        <v>608657.71</v>
      </c>
      <c r="F7" s="137" t="s">
        <v>87</v>
      </c>
      <c r="G7" s="123">
        <f>E7-E12</f>
        <v>0</v>
      </c>
    </row>
    <row r="9" spans="1:21" ht="44.25" customHeight="1" x14ac:dyDescent="0.3">
      <c r="A9" s="119" t="s">
        <v>117</v>
      </c>
      <c r="B9" s="457" t="s">
        <v>85</v>
      </c>
      <c r="C9" s="457"/>
      <c r="D9" s="457"/>
      <c r="E9" s="457"/>
      <c r="F9" s="457"/>
    </row>
    <row r="10" spans="1:21" ht="41.25" customHeight="1" x14ac:dyDescent="0.25">
      <c r="A10" s="461" t="s">
        <v>86</v>
      </c>
      <c r="B10" s="462"/>
      <c r="C10" s="462"/>
      <c r="D10" s="462"/>
      <c r="E10" s="462"/>
      <c r="F10" s="462"/>
    </row>
    <row r="11" spans="1:21" ht="41.25" customHeight="1" x14ac:dyDescent="0.25">
      <c r="A11" s="120"/>
      <c r="B11" s="121"/>
      <c r="C11" s="122"/>
      <c r="D11" s="122"/>
      <c r="E11" s="122"/>
      <c r="F11" s="122"/>
      <c r="H11" s="123"/>
      <c r="I11" s="123"/>
      <c r="J11" s="123"/>
      <c r="K11" s="123"/>
    </row>
    <row r="12" spans="1:21" ht="45.75" customHeight="1" x14ac:dyDescent="0.3">
      <c r="A12" s="121"/>
      <c r="B12" s="451" t="s">
        <v>104</v>
      </c>
      <c r="C12" s="451"/>
      <c r="D12" s="451"/>
      <c r="E12" s="124">
        <f>E7</f>
        <v>608657.71</v>
      </c>
      <c r="F12" s="118" t="s">
        <v>87</v>
      </c>
      <c r="G12" s="153">
        <f>E24+E32+E40-(E12*70%)</f>
        <v>3.000000084284693E-3</v>
      </c>
      <c r="H12" s="123"/>
      <c r="I12" s="123"/>
      <c r="J12" s="123"/>
      <c r="K12" s="123"/>
    </row>
    <row r="13" spans="1:21" ht="18.75" x14ac:dyDescent="0.3">
      <c r="E13" s="125"/>
      <c r="G13" s="154"/>
      <c r="H13" s="123"/>
      <c r="I13" s="123"/>
      <c r="J13" s="123"/>
      <c r="K13" s="123"/>
    </row>
    <row r="14" spans="1:21" ht="31.5" customHeight="1" x14ac:dyDescent="0.3">
      <c r="A14" s="121"/>
      <c r="B14" s="451" t="s">
        <v>88</v>
      </c>
      <c r="C14" s="451"/>
      <c r="D14" s="451"/>
      <c r="E14" s="138">
        <f>ROUND(U14,4)</f>
        <v>45103.583299999998</v>
      </c>
      <c r="F14" s="118" t="s">
        <v>89</v>
      </c>
      <c r="G14" s="155">
        <f>E22+E30+E38-E14</f>
        <v>0</v>
      </c>
      <c r="H14" s="169">
        <f>H22+H30+H38</f>
        <v>43011</v>
      </c>
      <c r="I14" s="169">
        <f t="shared" ref="I14:S14" si="0">I22+I30+I38</f>
        <v>43059</v>
      </c>
      <c r="J14" s="169">
        <f t="shared" si="0"/>
        <v>46753</v>
      </c>
      <c r="K14" s="169">
        <f t="shared" si="0"/>
        <v>45388</v>
      </c>
      <c r="L14" s="169">
        <f t="shared" si="0"/>
        <v>45299</v>
      </c>
      <c r="M14" s="169">
        <f t="shared" si="0"/>
        <v>45639</v>
      </c>
      <c r="N14" s="169">
        <f t="shared" si="0"/>
        <v>45787</v>
      </c>
      <c r="O14" s="169">
        <f t="shared" si="0"/>
        <v>45580</v>
      </c>
      <c r="P14" s="169">
        <f t="shared" si="0"/>
        <v>45426</v>
      </c>
      <c r="Q14" s="169">
        <f t="shared" si="0"/>
        <v>45329</v>
      </c>
      <c r="R14" s="169">
        <f t="shared" si="0"/>
        <v>45113</v>
      </c>
      <c r="S14" s="169">
        <f t="shared" si="0"/>
        <v>44859</v>
      </c>
      <c r="T14" s="169">
        <f>SUM(H14:S14)</f>
        <v>541243</v>
      </c>
      <c r="U14" s="308">
        <f>T14/12</f>
        <v>45103.583333333336</v>
      </c>
    </row>
    <row r="15" spans="1:21" ht="44.25" customHeight="1" x14ac:dyDescent="0.3">
      <c r="E15" s="125"/>
      <c r="H15" s="171" t="s">
        <v>105</v>
      </c>
      <c r="I15" s="171" t="s">
        <v>146</v>
      </c>
      <c r="J15" s="171" t="s">
        <v>147</v>
      </c>
      <c r="K15" s="171" t="s">
        <v>148</v>
      </c>
      <c r="L15" s="171" t="s">
        <v>108</v>
      </c>
      <c r="M15" s="171" t="s">
        <v>109</v>
      </c>
      <c r="N15" s="171" t="s">
        <v>110</v>
      </c>
      <c r="O15" s="171" t="s">
        <v>111</v>
      </c>
      <c r="P15" s="171" t="s">
        <v>149</v>
      </c>
      <c r="Q15" s="171" t="s">
        <v>150</v>
      </c>
      <c r="R15" s="171" t="s">
        <v>112</v>
      </c>
      <c r="S15" s="171" t="s">
        <v>151</v>
      </c>
      <c r="T15" s="122"/>
      <c r="U15" s="122"/>
    </row>
    <row r="16" spans="1:21" ht="101.25" customHeight="1" x14ac:dyDescent="0.3">
      <c r="B16" s="451" t="s">
        <v>106</v>
      </c>
      <c r="C16" s="451"/>
      <c r="D16" s="451"/>
      <c r="E16" s="159">
        <f>IFERROR(((0.7)*E12)/E14,0)</f>
        <v>9.4462649268046057</v>
      </c>
      <c r="F16" s="118" t="s">
        <v>87</v>
      </c>
      <c r="G16" s="118">
        <v>33.966271948901948</v>
      </c>
    </row>
    <row r="17" spans="1:21" ht="30.75" customHeight="1" x14ac:dyDescent="0.25"/>
    <row r="18" spans="1:21" ht="54" customHeight="1" x14ac:dyDescent="0.3">
      <c r="A18" s="452" t="s">
        <v>113</v>
      </c>
      <c r="B18" s="453"/>
      <c r="C18" s="453"/>
      <c r="D18" s="453"/>
      <c r="E18" s="453"/>
      <c r="F18" s="453"/>
    </row>
    <row r="20" spans="1:21" ht="27" customHeight="1" x14ac:dyDescent="0.25">
      <c r="B20" s="121"/>
    </row>
    <row r="21" spans="1:21" x14ac:dyDescent="0.25">
      <c r="A21" s="118" t="s">
        <v>90</v>
      </c>
    </row>
    <row r="22" spans="1:21" ht="28.5" customHeight="1" x14ac:dyDescent="0.3">
      <c r="A22" s="121"/>
      <c r="B22" s="451" t="s">
        <v>103</v>
      </c>
      <c r="C22" s="451"/>
      <c r="D22" s="451"/>
      <c r="E22" s="126">
        <f>ROUND(U22,4)</f>
        <v>0</v>
      </c>
      <c r="F22" s="118" t="s">
        <v>89</v>
      </c>
      <c r="G22" s="148"/>
      <c r="H22" s="170">
        <v>0</v>
      </c>
      <c r="I22" s="170">
        <v>0</v>
      </c>
      <c r="J22" s="170">
        <v>0</v>
      </c>
      <c r="K22" s="170">
        <v>0</v>
      </c>
      <c r="L22" s="170">
        <v>0</v>
      </c>
      <c r="M22" s="170">
        <v>0</v>
      </c>
      <c r="N22" s="170">
        <v>0</v>
      </c>
      <c r="O22" s="170">
        <v>0</v>
      </c>
      <c r="P22" s="170">
        <v>0</v>
      </c>
      <c r="Q22" s="170">
        <v>0</v>
      </c>
      <c r="R22" s="170">
        <v>0</v>
      </c>
      <c r="S22" s="170">
        <v>0</v>
      </c>
      <c r="T22" s="169">
        <f>SUM(H22:S22)</f>
        <v>0</v>
      </c>
      <c r="U22" s="308">
        <f>T22/12</f>
        <v>0</v>
      </c>
    </row>
    <row r="23" spans="1:21" ht="18.75" x14ac:dyDescent="0.3">
      <c r="E23" s="126"/>
      <c r="H23" s="171" t="s">
        <v>105</v>
      </c>
      <c r="I23" s="171" t="s">
        <v>146</v>
      </c>
      <c r="J23" s="171" t="s">
        <v>147</v>
      </c>
      <c r="K23" s="171" t="s">
        <v>148</v>
      </c>
      <c r="L23" s="171" t="s">
        <v>108</v>
      </c>
      <c r="M23" s="171" t="s">
        <v>109</v>
      </c>
      <c r="N23" s="171" t="s">
        <v>110</v>
      </c>
      <c r="O23" s="171" t="s">
        <v>111</v>
      </c>
      <c r="P23" s="171" t="s">
        <v>149</v>
      </c>
      <c r="Q23" s="171" t="s">
        <v>150</v>
      </c>
      <c r="R23" s="171" t="s">
        <v>112</v>
      </c>
      <c r="S23" s="171" t="s">
        <v>151</v>
      </c>
      <c r="T23" s="171"/>
      <c r="U23" s="171"/>
    </row>
    <row r="24" spans="1:21" ht="29.25" customHeight="1" x14ac:dyDescent="0.3">
      <c r="A24" s="121"/>
      <c r="B24" s="451" t="s">
        <v>142</v>
      </c>
      <c r="C24" s="451"/>
      <c r="D24" s="451"/>
      <c r="E24" s="141">
        <f>IFERROR(ROUND($E$16*E22,2),0)</f>
        <v>0</v>
      </c>
      <c r="F24" s="118" t="s">
        <v>87</v>
      </c>
      <c r="G24" s="139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</row>
    <row r="25" spans="1:21" s="145" customFormat="1" ht="45.75" customHeight="1" x14ac:dyDescent="0.35">
      <c r="A25" s="142"/>
      <c r="B25" s="143"/>
      <c r="C25" s="143"/>
      <c r="D25" s="143"/>
      <c r="E25" s="144"/>
      <c r="H25" s="146"/>
      <c r="I25" s="146"/>
      <c r="J25" s="146"/>
      <c r="K25" s="146"/>
    </row>
    <row r="26" spans="1:21" ht="54" customHeight="1" x14ac:dyDescent="0.3">
      <c r="A26" s="452" t="s">
        <v>114</v>
      </c>
      <c r="B26" s="453"/>
      <c r="C26" s="453"/>
      <c r="D26" s="453"/>
      <c r="E26" s="453"/>
      <c r="F26" s="453"/>
    </row>
    <row r="28" spans="1:21" ht="27" customHeight="1" x14ac:dyDescent="0.25">
      <c r="B28" s="121"/>
    </row>
    <row r="29" spans="1:21" x14ac:dyDescent="0.25">
      <c r="A29" s="118" t="s">
        <v>90</v>
      </c>
    </row>
    <row r="30" spans="1:21" ht="28.5" customHeight="1" x14ac:dyDescent="0.3">
      <c r="A30" s="121"/>
      <c r="B30" s="451" t="s">
        <v>103</v>
      </c>
      <c r="C30" s="451"/>
      <c r="D30" s="451"/>
      <c r="E30" s="147">
        <f>ROUND(U30,4)</f>
        <v>45103.583299999998</v>
      </c>
      <c r="F30" s="118" t="s">
        <v>89</v>
      </c>
      <c r="G30" s="148"/>
      <c r="H30" s="169">
        <v>43011</v>
      </c>
      <c r="I30" s="169">
        <v>43059</v>
      </c>
      <c r="J30" s="169">
        <v>46753</v>
      </c>
      <c r="K30" s="169">
        <v>45388</v>
      </c>
      <c r="L30" s="169">
        <v>45299</v>
      </c>
      <c r="M30" s="169">
        <v>45639</v>
      </c>
      <c r="N30" s="169">
        <v>45787</v>
      </c>
      <c r="O30" s="169">
        <v>45580</v>
      </c>
      <c r="P30" s="169">
        <v>45426</v>
      </c>
      <c r="Q30" s="169">
        <v>45329</v>
      </c>
      <c r="R30" s="169">
        <v>45113</v>
      </c>
      <c r="S30" s="169">
        <v>44859</v>
      </c>
      <c r="T30" s="169">
        <f>SUM(H30:S30)</f>
        <v>541243</v>
      </c>
      <c r="U30" s="308">
        <f>T30/12</f>
        <v>45103.583333333336</v>
      </c>
    </row>
    <row r="31" spans="1:21" ht="18.75" x14ac:dyDescent="0.3">
      <c r="E31" s="126"/>
      <c r="H31" s="171" t="s">
        <v>105</v>
      </c>
      <c r="I31" s="171" t="s">
        <v>146</v>
      </c>
      <c r="J31" s="171" t="s">
        <v>147</v>
      </c>
      <c r="K31" s="171" t="s">
        <v>148</v>
      </c>
      <c r="L31" s="171" t="s">
        <v>108</v>
      </c>
      <c r="M31" s="171" t="s">
        <v>109</v>
      </c>
      <c r="N31" s="171" t="s">
        <v>110</v>
      </c>
      <c r="O31" s="171" t="s">
        <v>111</v>
      </c>
      <c r="P31" s="171" t="s">
        <v>149</v>
      </c>
      <c r="Q31" s="171" t="s">
        <v>150</v>
      </c>
      <c r="R31" s="171" t="s">
        <v>112</v>
      </c>
      <c r="S31" s="171" t="s">
        <v>151</v>
      </c>
      <c r="T31" s="122"/>
      <c r="U31" s="122"/>
    </row>
    <row r="32" spans="1:21" ht="29.25" customHeight="1" x14ac:dyDescent="0.3">
      <c r="A32" s="121"/>
      <c r="B32" s="451" t="s">
        <v>107</v>
      </c>
      <c r="C32" s="451"/>
      <c r="D32" s="451"/>
      <c r="E32" s="141">
        <f>IFERROR(ROUND($E$16*E30,2),0)</f>
        <v>426060.4</v>
      </c>
      <c r="F32" s="118" t="s">
        <v>87</v>
      </c>
      <c r="G32" s="139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</row>
    <row r="33" spans="1:21" ht="25.5" customHeight="1" x14ac:dyDescent="0.25"/>
    <row r="34" spans="1:21" ht="54" customHeight="1" x14ac:dyDescent="0.3">
      <c r="A34" s="452" t="s">
        <v>115</v>
      </c>
      <c r="B34" s="453"/>
      <c r="C34" s="453"/>
      <c r="D34" s="453"/>
      <c r="E34" s="453"/>
      <c r="F34" s="453"/>
    </row>
    <row r="36" spans="1:21" ht="27" customHeight="1" x14ac:dyDescent="0.25">
      <c r="B36" s="121"/>
    </row>
    <row r="37" spans="1:21" x14ac:dyDescent="0.25">
      <c r="A37" s="118" t="s">
        <v>90</v>
      </c>
    </row>
    <row r="38" spans="1:21" ht="28.5" customHeight="1" x14ac:dyDescent="0.3">
      <c r="A38" s="121"/>
      <c r="B38" s="451" t="s">
        <v>103</v>
      </c>
      <c r="C38" s="451"/>
      <c r="D38" s="451"/>
      <c r="E38" s="147">
        <f>ROUND(U38,4)</f>
        <v>0</v>
      </c>
      <c r="F38" s="118" t="s">
        <v>89</v>
      </c>
      <c r="G38" s="148"/>
      <c r="H38" s="170">
        <v>0</v>
      </c>
      <c r="I38" s="170">
        <v>0</v>
      </c>
      <c r="J38" s="170">
        <v>0</v>
      </c>
      <c r="K38" s="170">
        <v>0</v>
      </c>
      <c r="L38" s="170">
        <v>0</v>
      </c>
      <c r="M38" s="170">
        <v>0</v>
      </c>
      <c r="N38" s="170">
        <v>0</v>
      </c>
      <c r="O38" s="170">
        <v>0</v>
      </c>
      <c r="P38" s="170">
        <v>0</v>
      </c>
      <c r="Q38" s="170">
        <v>0</v>
      </c>
      <c r="R38" s="170">
        <v>0</v>
      </c>
      <c r="S38" s="170">
        <v>0</v>
      </c>
      <c r="T38" s="169">
        <f>SUM(H38:S38)</f>
        <v>0</v>
      </c>
      <c r="U38" s="308">
        <f>T38/12</f>
        <v>0</v>
      </c>
    </row>
    <row r="39" spans="1:21" ht="18.75" x14ac:dyDescent="0.3">
      <c r="E39" s="126"/>
      <c r="H39" s="171" t="s">
        <v>105</v>
      </c>
      <c r="I39" s="171" t="s">
        <v>146</v>
      </c>
      <c r="J39" s="171" t="s">
        <v>147</v>
      </c>
      <c r="K39" s="171" t="s">
        <v>148</v>
      </c>
      <c r="L39" s="171" t="s">
        <v>108</v>
      </c>
      <c r="M39" s="171" t="s">
        <v>109</v>
      </c>
      <c r="N39" s="171" t="s">
        <v>110</v>
      </c>
      <c r="O39" s="171" t="s">
        <v>111</v>
      </c>
      <c r="P39" s="171" t="s">
        <v>149</v>
      </c>
      <c r="Q39" s="171" t="s">
        <v>150</v>
      </c>
      <c r="R39" s="171" t="s">
        <v>112</v>
      </c>
      <c r="S39" s="171" t="s">
        <v>151</v>
      </c>
      <c r="T39" s="171"/>
      <c r="U39" s="171"/>
    </row>
    <row r="40" spans="1:21" ht="29.25" customHeight="1" x14ac:dyDescent="0.3">
      <c r="A40" s="121"/>
      <c r="B40" s="451" t="s">
        <v>107</v>
      </c>
      <c r="C40" s="451"/>
      <c r="D40" s="451"/>
      <c r="E40" s="141">
        <f>IFERROR(ROUND($E$16*E38,2),0)</f>
        <v>0</v>
      </c>
      <c r="F40" s="118" t="s">
        <v>87</v>
      </c>
      <c r="G40" s="139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</row>
    <row r="41" spans="1:21" ht="26.25" customHeight="1" x14ac:dyDescent="0.35">
      <c r="A41" s="130"/>
      <c r="B41" s="132"/>
      <c r="C41" s="132"/>
      <c r="D41" s="132"/>
      <c r="E41" s="140"/>
      <c r="H41" s="123"/>
      <c r="I41" s="123"/>
      <c r="J41" s="123"/>
      <c r="K41" s="123"/>
    </row>
    <row r="42" spans="1:21" ht="50.25" customHeight="1" x14ac:dyDescent="0.3">
      <c r="A42" s="119" t="s">
        <v>118</v>
      </c>
      <c r="B42" s="457" t="s">
        <v>92</v>
      </c>
      <c r="C42" s="457"/>
      <c r="D42" s="457"/>
      <c r="E42" s="457"/>
      <c r="F42" s="457"/>
    </row>
    <row r="44" spans="1:21" ht="33" customHeight="1" x14ac:dyDescent="0.25">
      <c r="A44" s="454" t="s">
        <v>93</v>
      </c>
      <c r="B44" s="458"/>
      <c r="C44" s="458"/>
      <c r="D44" s="458"/>
      <c r="E44" s="458"/>
      <c r="F44" s="458"/>
    </row>
    <row r="46" spans="1:21" ht="36.75" customHeight="1" x14ac:dyDescent="0.25">
      <c r="B46" s="121"/>
    </row>
    <row r="48" spans="1:21" ht="45.75" customHeight="1" x14ac:dyDescent="0.3">
      <c r="A48" s="121"/>
      <c r="B48" s="451" t="s">
        <v>104</v>
      </c>
      <c r="C48" s="451"/>
      <c r="D48" s="451"/>
      <c r="E48" s="124">
        <f>E7</f>
        <v>608657.71</v>
      </c>
      <c r="F48" s="118" t="s">
        <v>87</v>
      </c>
    </row>
    <row r="50" spans="1:6" ht="31.5" customHeight="1" x14ac:dyDescent="0.25">
      <c r="A50" s="131" t="s">
        <v>94</v>
      </c>
      <c r="B50" s="451" t="s">
        <v>95</v>
      </c>
      <c r="C50" s="451"/>
      <c r="D50" s="451"/>
      <c r="E50" s="127">
        <f>МОЦОМиД!U42</f>
        <v>2</v>
      </c>
      <c r="F50" s="118" t="s">
        <v>138</v>
      </c>
    </row>
    <row r="52" spans="1:6" x14ac:dyDescent="0.25">
      <c r="A52" s="121"/>
    </row>
    <row r="53" spans="1:6" ht="63" customHeight="1" x14ac:dyDescent="0.3">
      <c r="A53" s="121"/>
      <c r="B53" s="451" t="s">
        <v>96</v>
      </c>
      <c r="C53" s="451"/>
      <c r="D53" s="451"/>
      <c r="E53" s="347">
        <f>IFERROR(ROUND(E48*30%/E50,4),0)</f>
        <v>91298.656499999997</v>
      </c>
      <c r="F53" s="118" t="s">
        <v>87</v>
      </c>
    </row>
    <row r="55" spans="1:6" ht="49.5" customHeight="1" x14ac:dyDescent="0.25">
      <c r="A55" s="454" t="s">
        <v>97</v>
      </c>
      <c r="B55" s="454"/>
      <c r="C55" s="454"/>
      <c r="D55" s="454"/>
      <c r="E55" s="454"/>
      <c r="F55" s="454"/>
    </row>
    <row r="57" spans="1:6" ht="32.25" customHeight="1" x14ac:dyDescent="0.25">
      <c r="B57" s="121"/>
    </row>
    <row r="59" spans="1:6" ht="21.75" customHeight="1" x14ac:dyDescent="0.25">
      <c r="A59" s="121"/>
      <c r="B59" s="118" t="s">
        <v>98</v>
      </c>
    </row>
    <row r="62" spans="1:6" ht="60.75" customHeight="1" x14ac:dyDescent="0.25">
      <c r="A62" s="455" t="s">
        <v>99</v>
      </c>
      <c r="B62" s="456"/>
      <c r="C62" s="456"/>
      <c r="D62" s="456"/>
      <c r="E62" s="456"/>
      <c r="F62" s="456"/>
    </row>
    <row r="63" spans="1:6" ht="17.25" customHeight="1" x14ac:dyDescent="0.25">
      <c r="A63" s="134"/>
      <c r="B63" s="135"/>
      <c r="C63" s="135"/>
      <c r="D63" s="135"/>
      <c r="E63" s="135"/>
      <c r="F63" s="135"/>
    </row>
    <row r="64" spans="1:6" ht="63.75" customHeight="1" x14ac:dyDescent="0.25">
      <c r="A64" s="465" t="s">
        <v>140</v>
      </c>
      <c r="B64" s="465"/>
      <c r="C64" s="465"/>
      <c r="D64" s="465"/>
      <c r="E64" s="465"/>
      <c r="F64" s="465"/>
    </row>
    <row r="66" spans="1:21" ht="54" customHeight="1" x14ac:dyDescent="0.3">
      <c r="A66" s="452" t="s">
        <v>185</v>
      </c>
      <c r="B66" s="453"/>
      <c r="C66" s="453"/>
      <c r="D66" s="453"/>
      <c r="E66" s="453"/>
      <c r="F66" s="453"/>
    </row>
    <row r="68" spans="1:21" ht="27" customHeight="1" x14ac:dyDescent="0.25">
      <c r="B68" s="450"/>
      <c r="C68" s="450"/>
    </row>
    <row r="69" spans="1:21" x14ac:dyDescent="0.25">
      <c r="A69" s="118" t="s">
        <v>90</v>
      </c>
    </row>
    <row r="70" spans="1:21" ht="36" customHeight="1" x14ac:dyDescent="0.3">
      <c r="A70" s="158"/>
      <c r="B70" s="451" t="s">
        <v>141</v>
      </c>
      <c r="C70" s="451"/>
      <c r="D70" s="451"/>
      <c r="E70" s="141">
        <f>E72*E74</f>
        <v>182597.31299999999</v>
      </c>
      <c r="F70" s="118" t="s">
        <v>87</v>
      </c>
      <c r="G70" s="139"/>
    </row>
    <row r="71" spans="1:21" ht="9" customHeight="1" x14ac:dyDescent="0.3">
      <c r="A71" s="158"/>
      <c r="B71" s="325"/>
      <c r="C71" s="325"/>
      <c r="D71" s="325"/>
      <c r="E71" s="141"/>
    </row>
    <row r="72" spans="1:21" ht="28.5" customHeight="1" x14ac:dyDescent="0.3">
      <c r="A72" s="158"/>
      <c r="B72" s="451" t="s">
        <v>196</v>
      </c>
      <c r="C72" s="451"/>
      <c r="D72" s="451"/>
      <c r="E72" s="344">
        <f>МОЦОМиД!U42</f>
        <v>2</v>
      </c>
      <c r="F72" s="118" t="s">
        <v>138</v>
      </c>
      <c r="G72" s="148"/>
      <c r="H72" s="169">
        <v>43011</v>
      </c>
      <c r="I72" s="169">
        <v>43059</v>
      </c>
      <c r="J72" s="169">
        <v>46753</v>
      </c>
      <c r="K72" s="169">
        <v>45388</v>
      </c>
      <c r="L72" s="169">
        <v>45299</v>
      </c>
      <c r="M72" s="169">
        <v>45639</v>
      </c>
      <c r="N72" s="169">
        <v>45787</v>
      </c>
      <c r="O72" s="169">
        <v>45580</v>
      </c>
      <c r="P72" s="169">
        <v>45426</v>
      </c>
      <c r="Q72" s="169">
        <v>45329</v>
      </c>
      <c r="R72" s="169">
        <v>45113</v>
      </c>
      <c r="S72" s="169">
        <v>44859</v>
      </c>
      <c r="T72" s="169">
        <f>SUM(H72:S72)</f>
        <v>541243</v>
      </c>
      <c r="U72" s="308">
        <f>T72/12</f>
        <v>45103.583333333336</v>
      </c>
    </row>
    <row r="73" spans="1:21" ht="14.25" customHeight="1" x14ac:dyDescent="0.3">
      <c r="E73" s="126"/>
      <c r="H73" s="171" t="s">
        <v>105</v>
      </c>
      <c r="I73" s="171" t="s">
        <v>146</v>
      </c>
      <c r="J73" s="171" t="s">
        <v>147</v>
      </c>
      <c r="K73" s="171" t="s">
        <v>148</v>
      </c>
      <c r="L73" s="171" t="s">
        <v>108</v>
      </c>
      <c r="M73" s="171" t="s">
        <v>109</v>
      </c>
      <c r="N73" s="171" t="s">
        <v>110</v>
      </c>
      <c r="O73" s="171" t="s">
        <v>111</v>
      </c>
      <c r="P73" s="171" t="s">
        <v>149</v>
      </c>
      <c r="Q73" s="171" t="s">
        <v>150</v>
      </c>
      <c r="R73" s="171" t="s">
        <v>112</v>
      </c>
      <c r="S73" s="171" t="s">
        <v>151</v>
      </c>
      <c r="T73" s="122"/>
    </row>
    <row r="74" spans="1:21" ht="66" customHeight="1" x14ac:dyDescent="0.3">
      <c r="A74" s="158"/>
      <c r="B74" s="451" t="s">
        <v>96</v>
      </c>
      <c r="C74" s="451"/>
      <c r="D74" s="451"/>
      <c r="E74" s="346">
        <f>E53</f>
        <v>91298.656499999997</v>
      </c>
      <c r="F74" s="118" t="s">
        <v>87</v>
      </c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</row>
  </sheetData>
  <mergeCells count="29">
    <mergeCell ref="A5:F5"/>
    <mergeCell ref="A7:D7"/>
    <mergeCell ref="B9:F9"/>
    <mergeCell ref="A26:F26"/>
    <mergeCell ref="A10:F10"/>
    <mergeCell ref="B12:D12"/>
    <mergeCell ref="B14:D14"/>
    <mergeCell ref="B16:D16"/>
    <mergeCell ref="A18:F18"/>
    <mergeCell ref="B22:D22"/>
    <mergeCell ref="B24:D24"/>
    <mergeCell ref="B30:D30"/>
    <mergeCell ref="B32:D32"/>
    <mergeCell ref="A34:F34"/>
    <mergeCell ref="B38:D38"/>
    <mergeCell ref="B40:D40"/>
    <mergeCell ref="A55:F55"/>
    <mergeCell ref="A62:F62"/>
    <mergeCell ref="B42:F42"/>
    <mergeCell ref="A44:F44"/>
    <mergeCell ref="B48:D48"/>
    <mergeCell ref="B50:D50"/>
    <mergeCell ref="B53:D53"/>
    <mergeCell ref="B74:D74"/>
    <mergeCell ref="A64:F64"/>
    <mergeCell ref="A66:F66"/>
    <mergeCell ref="B68:C68"/>
    <mergeCell ref="B70:D70"/>
    <mergeCell ref="B72:D72"/>
  </mergeCells>
  <pageMargins left="0.7" right="0.7" top="0.75" bottom="0.75" header="0.3" footer="0.3"/>
  <pageSetup paperSize="9" scale="7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U74"/>
  <sheetViews>
    <sheetView view="pageBreakPreview" zoomScale="80" zoomScaleNormal="100" zoomScaleSheetLayoutView="80" workbookViewId="0">
      <selection activeCell="F2" sqref="F2"/>
    </sheetView>
  </sheetViews>
  <sheetFormatPr defaultRowHeight="15.75" x14ac:dyDescent="0.25"/>
  <cols>
    <col min="1" max="1" width="19.5703125" style="118" customWidth="1"/>
    <col min="2" max="2" width="22" style="118" customWidth="1"/>
    <col min="3" max="3" width="23.7109375" style="118" customWidth="1"/>
    <col min="4" max="4" width="25" style="118" customWidth="1"/>
    <col min="5" max="5" width="21.28515625" style="118" customWidth="1"/>
    <col min="6" max="6" width="9.28515625" style="118" customWidth="1"/>
    <col min="7" max="7" width="18.140625" style="118" bestFit="1" customWidth="1"/>
    <col min="8" max="11" width="15" style="118" customWidth="1"/>
    <col min="12" max="12" width="9.28515625" style="118" bestFit="1" customWidth="1"/>
    <col min="13" max="13" width="9.28515625" style="118" customWidth="1"/>
    <col min="14" max="14" width="9.28515625" style="118" bestFit="1" customWidth="1"/>
    <col min="15" max="17" width="9.28515625" style="118" customWidth="1"/>
    <col min="18" max="18" width="9.5703125" style="118" bestFit="1" customWidth="1"/>
    <col min="19" max="19" width="9.5703125" style="118" customWidth="1"/>
    <col min="20" max="20" width="11.28515625" style="118" customWidth="1"/>
    <col min="21" max="16384" width="9.140625" style="118"/>
  </cols>
  <sheetData>
    <row r="1" spans="1:21" ht="16.5" x14ac:dyDescent="0.25">
      <c r="E1" s="88"/>
      <c r="F1" s="88" t="s">
        <v>200</v>
      </c>
    </row>
    <row r="2" spans="1:21" ht="16.5" x14ac:dyDescent="0.25">
      <c r="E2" s="98"/>
      <c r="F2" s="98" t="s">
        <v>78</v>
      </c>
    </row>
    <row r="3" spans="1:21" ht="16.5" x14ac:dyDescent="0.25">
      <c r="E3" s="163"/>
      <c r="F3" s="98" t="str">
        <f>МОБ!$R$3</f>
        <v>№ 17-03 от 19.12.2024</v>
      </c>
    </row>
    <row r="5" spans="1:21" ht="45.75" customHeight="1" x14ac:dyDescent="0.25">
      <c r="A5" s="463" t="s">
        <v>102</v>
      </c>
      <c r="B5" s="463"/>
      <c r="C5" s="463"/>
      <c r="D5" s="463"/>
      <c r="E5" s="463"/>
      <c r="F5" s="463"/>
    </row>
    <row r="7" spans="1:21" ht="57" customHeight="1" x14ac:dyDescent="0.3">
      <c r="A7" s="464" t="s">
        <v>139</v>
      </c>
      <c r="B7" s="464"/>
      <c r="C7" s="464"/>
      <c r="D7" s="464"/>
      <c r="E7" s="136">
        <v>1456015.97</v>
      </c>
      <c r="F7" s="137" t="s">
        <v>87</v>
      </c>
      <c r="G7" s="123">
        <f>E7-E12</f>
        <v>0</v>
      </c>
    </row>
    <row r="9" spans="1:21" ht="44.25" customHeight="1" x14ac:dyDescent="0.3">
      <c r="A9" s="119" t="s">
        <v>117</v>
      </c>
      <c r="B9" s="457" t="s">
        <v>85</v>
      </c>
      <c r="C9" s="457"/>
      <c r="D9" s="457"/>
      <c r="E9" s="457"/>
      <c r="F9" s="457"/>
    </row>
    <row r="10" spans="1:21" ht="41.25" customHeight="1" x14ac:dyDescent="0.25">
      <c r="A10" s="461" t="s">
        <v>86</v>
      </c>
      <c r="B10" s="462"/>
      <c r="C10" s="462"/>
      <c r="D10" s="462"/>
      <c r="E10" s="462"/>
      <c r="F10" s="462"/>
    </row>
    <row r="11" spans="1:21" ht="41.25" customHeight="1" x14ac:dyDescent="0.25">
      <c r="A11" s="120"/>
      <c r="B11" s="121"/>
      <c r="C11" s="122"/>
      <c r="D11" s="122"/>
      <c r="E11" s="122"/>
      <c r="F11" s="122"/>
      <c r="H11" s="123"/>
      <c r="I11" s="123"/>
      <c r="J11" s="123"/>
      <c r="K11" s="123"/>
    </row>
    <row r="12" spans="1:21" ht="45.75" customHeight="1" x14ac:dyDescent="0.3">
      <c r="A12" s="121"/>
      <c r="B12" s="451" t="s">
        <v>104</v>
      </c>
      <c r="C12" s="451"/>
      <c r="D12" s="451"/>
      <c r="E12" s="124">
        <f>E7</f>
        <v>1456015.97</v>
      </c>
      <c r="F12" s="118" t="s">
        <v>87</v>
      </c>
      <c r="G12" s="153">
        <f>E24+E32+E40-(E12*70%)</f>
        <v>1.0000001639127731E-3</v>
      </c>
      <c r="H12" s="123"/>
      <c r="I12" s="123"/>
      <c r="J12" s="123"/>
      <c r="K12" s="123"/>
    </row>
    <row r="13" spans="1:21" ht="18.75" x14ac:dyDescent="0.3">
      <c r="E13" s="125"/>
      <c r="G13" s="154"/>
      <c r="H13" s="123"/>
      <c r="I13" s="123"/>
      <c r="J13" s="123"/>
      <c r="K13" s="123"/>
    </row>
    <row r="14" spans="1:21" ht="31.5" customHeight="1" x14ac:dyDescent="0.3">
      <c r="A14" s="121"/>
      <c r="B14" s="451" t="s">
        <v>88</v>
      </c>
      <c r="C14" s="451"/>
      <c r="D14" s="451"/>
      <c r="E14" s="138">
        <f>ROUND(U14,4)</f>
        <v>89186.166700000002</v>
      </c>
      <c r="F14" s="118" t="s">
        <v>89</v>
      </c>
      <c r="G14" s="155">
        <f>E22+E30+E38-E14</f>
        <v>0</v>
      </c>
      <c r="H14" s="169">
        <f t="shared" ref="H14:S14" si="0">H22+H30+H38</f>
        <v>84453</v>
      </c>
      <c r="I14" s="169">
        <f t="shared" si="0"/>
        <v>84538</v>
      </c>
      <c r="J14" s="169">
        <f t="shared" si="0"/>
        <v>88006</v>
      </c>
      <c r="K14" s="169">
        <f t="shared" si="0"/>
        <v>90067</v>
      </c>
      <c r="L14" s="169">
        <f t="shared" si="0"/>
        <v>89940</v>
      </c>
      <c r="M14" s="169">
        <f t="shared" si="0"/>
        <v>90682</v>
      </c>
      <c r="N14" s="169">
        <f t="shared" si="0"/>
        <v>90686</v>
      </c>
      <c r="O14" s="169">
        <f t="shared" si="0"/>
        <v>90845</v>
      </c>
      <c r="P14" s="169">
        <f t="shared" si="0"/>
        <v>90559</v>
      </c>
      <c r="Q14" s="169">
        <f t="shared" si="0"/>
        <v>90344</v>
      </c>
      <c r="R14" s="169">
        <f t="shared" si="0"/>
        <v>89942</v>
      </c>
      <c r="S14" s="169">
        <f t="shared" si="0"/>
        <v>90172</v>
      </c>
      <c r="T14" s="169">
        <f>SUM(H14:S14)</f>
        <v>1070234</v>
      </c>
      <c r="U14" s="169">
        <f>T14/12</f>
        <v>89186.166666666672</v>
      </c>
    </row>
    <row r="15" spans="1:21" ht="44.25" customHeight="1" x14ac:dyDescent="0.3">
      <c r="E15" s="125"/>
      <c r="H15" s="171" t="s">
        <v>105</v>
      </c>
      <c r="I15" s="171" t="s">
        <v>146</v>
      </c>
      <c r="J15" s="171" t="s">
        <v>147</v>
      </c>
      <c r="K15" s="171" t="s">
        <v>148</v>
      </c>
      <c r="L15" s="171" t="s">
        <v>108</v>
      </c>
      <c r="M15" s="171" t="s">
        <v>109</v>
      </c>
      <c r="N15" s="171" t="s">
        <v>110</v>
      </c>
      <c r="O15" s="171" t="s">
        <v>111</v>
      </c>
      <c r="P15" s="171" t="s">
        <v>149</v>
      </c>
      <c r="Q15" s="171" t="s">
        <v>150</v>
      </c>
      <c r="R15" s="171" t="s">
        <v>112</v>
      </c>
      <c r="S15" s="171" t="s">
        <v>151</v>
      </c>
    </row>
    <row r="16" spans="1:21" ht="101.25" customHeight="1" x14ac:dyDescent="0.3">
      <c r="B16" s="451" t="s">
        <v>106</v>
      </c>
      <c r="C16" s="451"/>
      <c r="D16" s="451"/>
      <c r="E16" s="159">
        <f>IFERROR(((0.7)*E12)/E14,0)</f>
        <v>11.427906554481391</v>
      </c>
      <c r="F16" s="118" t="s">
        <v>87</v>
      </c>
    </row>
    <row r="17" spans="1:21" ht="30.75" customHeight="1" x14ac:dyDescent="0.25"/>
    <row r="18" spans="1:21" ht="54" customHeight="1" x14ac:dyDescent="0.3">
      <c r="A18" s="452" t="s">
        <v>113</v>
      </c>
      <c r="B18" s="453"/>
      <c r="C18" s="453"/>
      <c r="D18" s="453"/>
      <c r="E18" s="453"/>
      <c r="F18" s="453"/>
    </row>
    <row r="20" spans="1:21" ht="27" customHeight="1" x14ac:dyDescent="0.25">
      <c r="B20" s="121"/>
    </row>
    <row r="21" spans="1:21" x14ac:dyDescent="0.25">
      <c r="A21" s="118" t="s">
        <v>90</v>
      </c>
    </row>
    <row r="22" spans="1:21" ht="28.5" customHeight="1" x14ac:dyDescent="0.3">
      <c r="A22" s="121"/>
      <c r="B22" s="451" t="s">
        <v>103</v>
      </c>
      <c r="C22" s="451"/>
      <c r="D22" s="451"/>
      <c r="E22" s="126">
        <f>ROUND(U22,4)</f>
        <v>0</v>
      </c>
      <c r="F22" s="118" t="s">
        <v>89</v>
      </c>
      <c r="G22" s="148"/>
      <c r="H22" s="170">
        <v>0</v>
      </c>
      <c r="I22" s="170">
        <v>0</v>
      </c>
      <c r="J22" s="170">
        <v>0</v>
      </c>
      <c r="K22" s="170">
        <v>0</v>
      </c>
      <c r="L22" s="170">
        <v>0</v>
      </c>
      <c r="M22" s="170">
        <v>0</v>
      </c>
      <c r="N22" s="170">
        <v>0</v>
      </c>
      <c r="O22" s="170">
        <v>0</v>
      </c>
      <c r="P22" s="170">
        <v>0</v>
      </c>
      <c r="Q22" s="170">
        <v>0</v>
      </c>
      <c r="R22" s="170">
        <v>0</v>
      </c>
      <c r="S22" s="170">
        <v>0</v>
      </c>
      <c r="T22" s="170">
        <f>SUM(H22:S22)</f>
        <v>0</v>
      </c>
      <c r="U22" s="172">
        <f>T22/12</f>
        <v>0</v>
      </c>
    </row>
    <row r="23" spans="1:21" ht="18.75" x14ac:dyDescent="0.3">
      <c r="E23" s="126"/>
      <c r="H23" s="172" t="s">
        <v>105</v>
      </c>
      <c r="I23" s="172" t="s">
        <v>146</v>
      </c>
      <c r="J23" s="172" t="s">
        <v>147</v>
      </c>
      <c r="K23" s="172" t="s">
        <v>148</v>
      </c>
      <c r="L23" s="172" t="s">
        <v>108</v>
      </c>
      <c r="M23" s="172" t="s">
        <v>109</v>
      </c>
      <c r="N23" s="172" t="s">
        <v>110</v>
      </c>
      <c r="O23" s="172" t="s">
        <v>111</v>
      </c>
      <c r="P23" s="172" t="s">
        <v>149</v>
      </c>
      <c r="Q23" s="172" t="s">
        <v>150</v>
      </c>
      <c r="R23" s="172" t="s">
        <v>112</v>
      </c>
      <c r="S23" s="172" t="s">
        <v>151</v>
      </c>
      <c r="T23" s="172"/>
      <c r="U23" s="172"/>
    </row>
    <row r="24" spans="1:21" ht="29.25" customHeight="1" x14ac:dyDescent="0.3">
      <c r="A24" s="121"/>
      <c r="B24" s="451" t="s">
        <v>142</v>
      </c>
      <c r="C24" s="451"/>
      <c r="D24" s="451"/>
      <c r="E24" s="141">
        <f>IFERROR(ROUND($E$16*E22,2),0)</f>
        <v>0</v>
      </c>
      <c r="F24" s="118" t="s">
        <v>87</v>
      </c>
      <c r="G24" s="139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</row>
    <row r="25" spans="1:21" s="145" customFormat="1" ht="45.75" customHeight="1" x14ac:dyDescent="0.35">
      <c r="A25" s="142"/>
      <c r="B25" s="143"/>
      <c r="C25" s="143"/>
      <c r="D25" s="143"/>
      <c r="E25" s="144"/>
      <c r="H25" s="146"/>
      <c r="I25" s="146"/>
      <c r="J25" s="146"/>
      <c r="K25" s="146"/>
    </row>
    <row r="26" spans="1:21" ht="54" customHeight="1" x14ac:dyDescent="0.3">
      <c r="A26" s="452" t="s">
        <v>114</v>
      </c>
      <c r="B26" s="453"/>
      <c r="C26" s="453"/>
      <c r="D26" s="453"/>
      <c r="E26" s="453"/>
      <c r="F26" s="453"/>
    </row>
    <row r="28" spans="1:21" ht="27" customHeight="1" x14ac:dyDescent="0.25">
      <c r="B28" s="121"/>
    </row>
    <row r="29" spans="1:21" x14ac:dyDescent="0.25">
      <c r="A29" s="118" t="s">
        <v>90</v>
      </c>
    </row>
    <row r="30" spans="1:21" ht="28.5" customHeight="1" x14ac:dyDescent="0.3">
      <c r="A30" s="121"/>
      <c r="B30" s="451" t="s">
        <v>103</v>
      </c>
      <c r="C30" s="451"/>
      <c r="D30" s="451"/>
      <c r="E30" s="147">
        <f>ROUND(U30,4)</f>
        <v>0</v>
      </c>
      <c r="F30" s="118" t="s">
        <v>89</v>
      </c>
      <c r="G30" s="148"/>
      <c r="H30" s="170">
        <v>0</v>
      </c>
      <c r="I30" s="170">
        <v>0</v>
      </c>
      <c r="J30" s="170">
        <v>0</v>
      </c>
      <c r="K30" s="170">
        <v>0</v>
      </c>
      <c r="L30" s="170">
        <v>0</v>
      </c>
      <c r="M30" s="170">
        <v>0</v>
      </c>
      <c r="N30" s="170">
        <v>0</v>
      </c>
      <c r="O30" s="170">
        <v>0</v>
      </c>
      <c r="P30" s="170">
        <v>0</v>
      </c>
      <c r="Q30" s="170">
        <v>0</v>
      </c>
      <c r="R30" s="170">
        <v>0</v>
      </c>
      <c r="S30" s="170">
        <v>0</v>
      </c>
      <c r="T30" s="127">
        <f>SUM(H30:S30)</f>
        <v>0</v>
      </c>
      <c r="U30" s="118">
        <f>T30/12</f>
        <v>0</v>
      </c>
    </row>
    <row r="31" spans="1:21" ht="18.75" x14ac:dyDescent="0.3">
      <c r="E31" s="126"/>
      <c r="H31" s="172" t="s">
        <v>105</v>
      </c>
      <c r="I31" s="172" t="s">
        <v>146</v>
      </c>
      <c r="J31" s="172" t="s">
        <v>147</v>
      </c>
      <c r="K31" s="172" t="s">
        <v>148</v>
      </c>
      <c r="L31" s="172" t="s">
        <v>108</v>
      </c>
      <c r="M31" s="172" t="s">
        <v>109</v>
      </c>
      <c r="N31" s="172" t="s">
        <v>110</v>
      </c>
      <c r="O31" s="172" t="s">
        <v>111</v>
      </c>
      <c r="P31" s="172" t="s">
        <v>149</v>
      </c>
      <c r="Q31" s="172" t="s">
        <v>150</v>
      </c>
      <c r="R31" s="172" t="s">
        <v>112</v>
      </c>
      <c r="S31" s="172" t="s">
        <v>151</v>
      </c>
    </row>
    <row r="32" spans="1:21" ht="29.25" customHeight="1" x14ac:dyDescent="0.3">
      <c r="A32" s="121"/>
      <c r="B32" s="451" t="s">
        <v>107</v>
      </c>
      <c r="C32" s="451"/>
      <c r="D32" s="451"/>
      <c r="E32" s="141">
        <f>IFERROR(ROUND($E$16*E30,2),0)</f>
        <v>0</v>
      </c>
      <c r="F32" s="118" t="s">
        <v>87</v>
      </c>
      <c r="G32" s="139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</row>
    <row r="33" spans="1:21" ht="25.5" customHeight="1" x14ac:dyDescent="0.25"/>
    <row r="34" spans="1:21" ht="54" customHeight="1" x14ac:dyDescent="0.3">
      <c r="A34" s="452" t="s">
        <v>115</v>
      </c>
      <c r="B34" s="453"/>
      <c r="C34" s="453"/>
      <c r="D34" s="453"/>
      <c r="E34" s="453"/>
      <c r="F34" s="453"/>
    </row>
    <row r="36" spans="1:21" ht="27" customHeight="1" x14ac:dyDescent="0.25">
      <c r="B36" s="121"/>
    </row>
    <row r="37" spans="1:21" x14ac:dyDescent="0.25">
      <c r="A37" s="118" t="s">
        <v>90</v>
      </c>
    </row>
    <row r="38" spans="1:21" ht="28.5" customHeight="1" x14ac:dyDescent="0.3">
      <c r="A38" s="121"/>
      <c r="B38" s="451" t="s">
        <v>103</v>
      </c>
      <c r="C38" s="451"/>
      <c r="D38" s="451"/>
      <c r="E38" s="147">
        <f>ROUND(U38,4)</f>
        <v>89186.166700000002</v>
      </c>
      <c r="F38" s="118" t="s">
        <v>89</v>
      </c>
      <c r="G38" s="148"/>
      <c r="H38" s="170">
        <v>84453</v>
      </c>
      <c r="I38" s="170">
        <v>84538</v>
      </c>
      <c r="J38" s="170">
        <v>88006</v>
      </c>
      <c r="K38" s="170">
        <v>90067</v>
      </c>
      <c r="L38" s="170">
        <v>89940</v>
      </c>
      <c r="M38" s="170">
        <v>90682</v>
      </c>
      <c r="N38" s="170">
        <v>90686</v>
      </c>
      <c r="O38" s="170">
        <v>90845</v>
      </c>
      <c r="P38" s="170">
        <v>90559</v>
      </c>
      <c r="Q38" s="170">
        <v>90344</v>
      </c>
      <c r="R38" s="170">
        <v>89942</v>
      </c>
      <c r="S38" s="170">
        <v>90172</v>
      </c>
      <c r="T38" s="170">
        <f>SUM(H38:S38)</f>
        <v>1070234</v>
      </c>
      <c r="U38" s="165">
        <f>T38/12</f>
        <v>89186.166666666672</v>
      </c>
    </row>
    <row r="39" spans="1:21" ht="18.75" x14ac:dyDescent="0.3">
      <c r="E39" s="126"/>
      <c r="H39" s="171" t="s">
        <v>105</v>
      </c>
      <c r="I39" s="171" t="s">
        <v>146</v>
      </c>
      <c r="J39" s="171" t="s">
        <v>147</v>
      </c>
      <c r="K39" s="171" t="s">
        <v>148</v>
      </c>
      <c r="L39" s="171" t="s">
        <v>108</v>
      </c>
      <c r="M39" s="171" t="s">
        <v>109</v>
      </c>
      <c r="N39" s="171" t="s">
        <v>110</v>
      </c>
      <c r="O39" s="171" t="s">
        <v>111</v>
      </c>
      <c r="P39" s="171" t="s">
        <v>149</v>
      </c>
      <c r="Q39" s="171" t="s">
        <v>150</v>
      </c>
      <c r="R39" s="171" t="s">
        <v>112</v>
      </c>
      <c r="S39" s="171" t="s">
        <v>151</v>
      </c>
      <c r="T39" s="122"/>
    </row>
    <row r="40" spans="1:21" ht="29.25" customHeight="1" x14ac:dyDescent="0.3">
      <c r="A40" s="121"/>
      <c r="B40" s="451" t="s">
        <v>107</v>
      </c>
      <c r="C40" s="451"/>
      <c r="D40" s="451"/>
      <c r="E40" s="141">
        <f>IFERROR(ROUND($E$16*E38,2),0)</f>
        <v>1019211.18</v>
      </c>
      <c r="F40" s="118" t="s">
        <v>87</v>
      </c>
      <c r="G40" s="139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</row>
    <row r="41" spans="1:21" ht="45.75" customHeight="1" x14ac:dyDescent="0.35">
      <c r="A41" s="130"/>
      <c r="B41" s="132"/>
      <c r="C41" s="132"/>
      <c r="D41" s="132"/>
      <c r="E41" s="140"/>
      <c r="H41" s="123"/>
      <c r="I41" s="123"/>
      <c r="J41" s="123"/>
      <c r="K41" s="123"/>
    </row>
    <row r="42" spans="1:21" ht="50.25" customHeight="1" x14ac:dyDescent="0.3">
      <c r="A42" s="119" t="s">
        <v>118</v>
      </c>
      <c r="B42" s="457" t="s">
        <v>92</v>
      </c>
      <c r="C42" s="457"/>
      <c r="D42" s="457"/>
      <c r="E42" s="457"/>
      <c r="F42" s="457"/>
    </row>
    <row r="44" spans="1:21" ht="33" customHeight="1" x14ac:dyDescent="0.25">
      <c r="A44" s="454" t="s">
        <v>93</v>
      </c>
      <c r="B44" s="458"/>
      <c r="C44" s="458"/>
      <c r="D44" s="458"/>
      <c r="E44" s="458"/>
      <c r="F44" s="458"/>
    </row>
    <row r="46" spans="1:21" ht="36.75" customHeight="1" x14ac:dyDescent="0.25">
      <c r="B46" s="121"/>
    </row>
    <row r="48" spans="1:21" ht="45.75" customHeight="1" x14ac:dyDescent="0.3">
      <c r="A48" s="121"/>
      <c r="B48" s="451" t="s">
        <v>104</v>
      </c>
      <c r="C48" s="451"/>
      <c r="D48" s="451"/>
      <c r="E48" s="124">
        <f>E7</f>
        <v>1456015.97</v>
      </c>
      <c r="F48" s="118" t="s">
        <v>87</v>
      </c>
    </row>
    <row r="50" spans="1:6" ht="31.5" customHeight="1" x14ac:dyDescent="0.25">
      <c r="A50" s="131" t="s">
        <v>94</v>
      </c>
      <c r="B50" s="451" t="s">
        <v>95</v>
      </c>
      <c r="C50" s="451"/>
      <c r="D50" s="451"/>
      <c r="E50" s="118">
        <f>'Городская поликлиника'!I43</f>
        <v>2</v>
      </c>
      <c r="F50" s="118" t="s">
        <v>138</v>
      </c>
    </row>
    <row r="52" spans="1:6" x14ac:dyDescent="0.25">
      <c r="A52" s="121"/>
    </row>
    <row r="53" spans="1:6" ht="63" customHeight="1" x14ac:dyDescent="0.3">
      <c r="A53" s="121"/>
      <c r="B53" s="451" t="s">
        <v>96</v>
      </c>
      <c r="C53" s="451"/>
      <c r="D53" s="451"/>
      <c r="E53" s="347">
        <f>IFERROR(ROUND(E48*30%/E50,4),0)</f>
        <v>218402.39550000001</v>
      </c>
      <c r="F53" s="118" t="s">
        <v>87</v>
      </c>
    </row>
    <row r="55" spans="1:6" ht="49.5" customHeight="1" x14ac:dyDescent="0.25">
      <c r="A55" s="454" t="s">
        <v>97</v>
      </c>
      <c r="B55" s="454"/>
      <c r="C55" s="454"/>
      <c r="D55" s="454"/>
      <c r="E55" s="454"/>
      <c r="F55" s="454"/>
    </row>
    <row r="57" spans="1:6" ht="32.25" customHeight="1" x14ac:dyDescent="0.25">
      <c r="B57" s="121"/>
    </row>
    <row r="59" spans="1:6" ht="21.75" customHeight="1" x14ac:dyDescent="0.25">
      <c r="A59" s="121"/>
      <c r="B59" s="118" t="s">
        <v>98</v>
      </c>
    </row>
    <row r="62" spans="1:6" ht="60.75" customHeight="1" x14ac:dyDescent="0.25">
      <c r="A62" s="455" t="s">
        <v>99</v>
      </c>
      <c r="B62" s="456"/>
      <c r="C62" s="456"/>
      <c r="D62" s="456"/>
      <c r="E62" s="456"/>
      <c r="F62" s="456"/>
    </row>
    <row r="63" spans="1:6" ht="17.25" customHeight="1" x14ac:dyDescent="0.25">
      <c r="A63" s="134"/>
      <c r="B63" s="135"/>
      <c r="C63" s="135"/>
      <c r="D63" s="135"/>
      <c r="E63" s="135"/>
      <c r="F63" s="135"/>
    </row>
    <row r="64" spans="1:6" ht="63.75" customHeight="1" x14ac:dyDescent="0.25">
      <c r="A64" s="465" t="s">
        <v>152</v>
      </c>
      <c r="B64" s="465"/>
      <c r="C64" s="465"/>
      <c r="D64" s="465"/>
      <c r="E64" s="465"/>
      <c r="F64" s="465"/>
    </row>
    <row r="66" spans="1:21" ht="54" customHeight="1" x14ac:dyDescent="0.3">
      <c r="A66" s="452" t="s">
        <v>153</v>
      </c>
      <c r="B66" s="453"/>
      <c r="C66" s="453"/>
      <c r="D66" s="453"/>
      <c r="E66" s="453"/>
      <c r="F66" s="453"/>
    </row>
    <row r="68" spans="1:21" ht="27" customHeight="1" x14ac:dyDescent="0.25">
      <c r="B68" s="450"/>
      <c r="C68" s="450"/>
    </row>
    <row r="69" spans="1:21" x14ac:dyDescent="0.25">
      <c r="A69" s="118" t="s">
        <v>90</v>
      </c>
    </row>
    <row r="70" spans="1:21" ht="36" customHeight="1" x14ac:dyDescent="0.3">
      <c r="A70" s="158"/>
      <c r="B70" s="451" t="s">
        <v>141</v>
      </c>
      <c r="C70" s="451"/>
      <c r="D70" s="451"/>
      <c r="E70" s="141">
        <f>E72*E74</f>
        <v>436804.79100000003</v>
      </c>
      <c r="F70" s="118" t="s">
        <v>87</v>
      </c>
      <c r="G70" s="139"/>
    </row>
    <row r="71" spans="1:21" ht="9" customHeight="1" x14ac:dyDescent="0.3">
      <c r="A71" s="158"/>
      <c r="B71" s="325"/>
      <c r="C71" s="325"/>
      <c r="D71" s="325"/>
      <c r="E71" s="141"/>
    </row>
    <row r="72" spans="1:21" ht="28.5" customHeight="1" x14ac:dyDescent="0.3">
      <c r="A72" s="158"/>
      <c r="B72" s="451" t="s">
        <v>196</v>
      </c>
      <c r="C72" s="451"/>
      <c r="D72" s="451"/>
      <c r="E72" s="344">
        <f>'Городская поликлиника'!I43</f>
        <v>2</v>
      </c>
      <c r="F72" s="118" t="s">
        <v>138</v>
      </c>
      <c r="G72" s="148"/>
      <c r="H72" s="170">
        <v>84453</v>
      </c>
      <c r="I72" s="170">
        <v>84538</v>
      </c>
      <c r="J72" s="170">
        <v>88006</v>
      </c>
      <c r="K72" s="170">
        <v>90067</v>
      </c>
      <c r="L72" s="170">
        <v>89940</v>
      </c>
      <c r="M72" s="170">
        <v>90682</v>
      </c>
      <c r="N72" s="170">
        <v>90686</v>
      </c>
      <c r="O72" s="170">
        <v>90845</v>
      </c>
      <c r="P72" s="170">
        <v>90559</v>
      </c>
      <c r="Q72" s="170">
        <v>90344</v>
      </c>
      <c r="R72" s="170">
        <v>89942</v>
      </c>
      <c r="S72" s="170">
        <v>90172</v>
      </c>
      <c r="T72" s="172">
        <f>H72*4+L72*2+N72*4+R72*2</f>
        <v>1060320</v>
      </c>
      <c r="U72" s="165">
        <f>T72/12</f>
        <v>88360</v>
      </c>
    </row>
    <row r="73" spans="1:21" ht="14.25" customHeight="1" x14ac:dyDescent="0.3">
      <c r="E73" s="126"/>
      <c r="H73" s="171" t="s">
        <v>105</v>
      </c>
      <c r="I73" s="171" t="s">
        <v>146</v>
      </c>
      <c r="J73" s="171" t="s">
        <v>147</v>
      </c>
      <c r="K73" s="171" t="s">
        <v>148</v>
      </c>
      <c r="L73" s="171" t="s">
        <v>108</v>
      </c>
      <c r="M73" s="171" t="s">
        <v>109</v>
      </c>
      <c r="N73" s="171" t="s">
        <v>110</v>
      </c>
      <c r="O73" s="171" t="s">
        <v>111</v>
      </c>
      <c r="P73" s="171" t="s">
        <v>149</v>
      </c>
      <c r="Q73" s="171" t="s">
        <v>150</v>
      </c>
      <c r="R73" s="171" t="s">
        <v>112</v>
      </c>
      <c r="S73" s="171" t="s">
        <v>151</v>
      </c>
      <c r="T73" s="122"/>
    </row>
    <row r="74" spans="1:21" ht="66" customHeight="1" x14ac:dyDescent="0.3">
      <c r="A74" s="158"/>
      <c r="B74" s="451" t="s">
        <v>96</v>
      </c>
      <c r="C74" s="451"/>
      <c r="D74" s="451"/>
      <c r="E74" s="141">
        <f>E53</f>
        <v>218402.39550000001</v>
      </c>
      <c r="F74" s="118" t="s">
        <v>87</v>
      </c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</row>
  </sheetData>
  <mergeCells count="29">
    <mergeCell ref="B14:D14"/>
    <mergeCell ref="B16:D16"/>
    <mergeCell ref="A18:F18"/>
    <mergeCell ref="B22:D22"/>
    <mergeCell ref="B24:D24"/>
    <mergeCell ref="A5:F5"/>
    <mergeCell ref="A7:D7"/>
    <mergeCell ref="B9:F9"/>
    <mergeCell ref="A10:F10"/>
    <mergeCell ref="B12:D12"/>
    <mergeCell ref="B40:D40"/>
    <mergeCell ref="A26:F26"/>
    <mergeCell ref="B30:D30"/>
    <mergeCell ref="B32:D32"/>
    <mergeCell ref="A34:F34"/>
    <mergeCell ref="B38:D38"/>
    <mergeCell ref="A64:F64"/>
    <mergeCell ref="B42:F42"/>
    <mergeCell ref="A44:F44"/>
    <mergeCell ref="B48:D48"/>
    <mergeCell ref="B50:D50"/>
    <mergeCell ref="B53:D53"/>
    <mergeCell ref="A55:F55"/>
    <mergeCell ref="A62:F62"/>
    <mergeCell ref="A66:F66"/>
    <mergeCell ref="B68:C68"/>
    <mergeCell ref="B70:D70"/>
    <mergeCell ref="B72:D72"/>
    <mergeCell ref="B74:D74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15</vt:i4>
      </vt:variant>
    </vt:vector>
  </HeadingPairs>
  <TitlesOfParts>
    <vt:vector size="26" baseType="lpstr">
      <vt:lpstr>СВОД</vt:lpstr>
      <vt:lpstr>МОБ</vt:lpstr>
      <vt:lpstr>МОЦОМиД</vt:lpstr>
      <vt:lpstr>Городская поликлиника</vt:lpstr>
      <vt:lpstr>Прил_2_Ранжирование</vt:lpstr>
      <vt:lpstr>Прил_3_Доп. критерии</vt:lpstr>
      <vt:lpstr>ПР_4 ОБЪЕМ СРЕДСТВ (Основной)</vt:lpstr>
      <vt:lpstr>ПР_4 ОБЪЕМ СРЕДСТВ (АМП)</vt:lpstr>
      <vt:lpstr>ПР_4 ОБЪЕМ СРЕДСТВ (СТОМАТ)</vt:lpstr>
      <vt:lpstr>Пр_5_СВОД СТИМУЛ ВЫПЛАТ</vt:lpstr>
      <vt:lpstr>шаблон</vt:lpstr>
      <vt:lpstr>'Городская поликлиника'!Заголовки_для_печати</vt:lpstr>
      <vt:lpstr>МОБ!Заголовки_для_печати</vt:lpstr>
      <vt:lpstr>МОЦОМиД!Заголовки_для_печати</vt:lpstr>
      <vt:lpstr>СВОД!Заголовки_для_печати</vt:lpstr>
      <vt:lpstr>шаблон!Заголовки_для_печати</vt:lpstr>
      <vt:lpstr>'Городская поликлиника'!Область_печати</vt:lpstr>
      <vt:lpstr>МОБ!Область_печати</vt:lpstr>
      <vt:lpstr>МОЦОМиД!Область_печати</vt:lpstr>
      <vt:lpstr>'ПР_4 ОБЪЕМ СРЕДСТВ (АМП)'!Область_печати</vt:lpstr>
      <vt:lpstr>'ПР_4 ОБЪЕМ СРЕДСТВ (Основной)'!Область_печати</vt:lpstr>
      <vt:lpstr>'ПР_4 ОБЪЕМ СРЕДСТВ (СТОМАТ)'!Область_печати</vt:lpstr>
      <vt:lpstr>'Пр_5_СВОД СТИМУЛ ВЫПЛАТ'!Область_печати</vt:lpstr>
      <vt:lpstr>Прил_2_Ранжирование!Область_печати</vt:lpstr>
      <vt:lpstr>'Прил_3_Доп. критерии'!Область_печати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2022-02-28T09:59:06Z</dcterms:created>
  <dcterms:modified xsi:type="dcterms:W3CDTF">2025-01-26T01:06:38Z</dcterms:modified>
</cp:coreProperties>
</file>