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4410" windowHeight="10635" tabRatio="806" firstSheet="1" activeTab="4"/>
  </bookViews>
  <sheets>
    <sheet name="СВОД" sheetId="7" state="hidden" r:id="rId1"/>
    <sheet name="МОБ" sheetId="4" r:id="rId2"/>
    <sheet name="МОЦОМиД" sheetId="5" r:id="rId3"/>
    <sheet name="Городская поликлиника" sheetId="6" r:id="rId4"/>
    <sheet name="Прил_2_Ранжирование" sheetId="8" r:id="rId5"/>
    <sheet name="Прил_3_Доп. критерии" sheetId="13" state="hidden" r:id="rId6"/>
    <sheet name="ПР_4 ОБЪЕМ СРЕДСТВ (Основной)" sheetId="9" state="hidden" r:id="rId7"/>
    <sheet name="ПР_4 ОБЪЕМ СРЕДСТВ (АМП)" sheetId="14" state="hidden" r:id="rId8"/>
    <sheet name="ПР_4 ОБЪЕМ СРЕДСТВ (СТОМАТ)" sheetId="15" state="hidden" r:id="rId9"/>
    <sheet name="Пр_5_СВОД СТИМУЛ ВЫПЛАТ" sheetId="12" state="hidden" r:id="rId10"/>
    <sheet name="шаблон" sheetId="3" state="hidden" r:id="rId11"/>
  </sheets>
  <externalReferences>
    <externalReference r:id="rId12"/>
  </externalReferences>
  <definedNames>
    <definedName name="_xlnm._FilterDatabase" localSheetId="3" hidden="1">'Городская поликлиника'!$A$13:$R$55</definedName>
    <definedName name="_xlnm._FilterDatabase" localSheetId="1" hidden="1">МОБ!$A$13:$R$55</definedName>
    <definedName name="_xlnm._FilterDatabase" localSheetId="2" hidden="1">МОЦОМиД!$A$13:$R$55</definedName>
    <definedName name="_xlnm._FilterDatabase" localSheetId="0" hidden="1">СВОД!$A$8:$R$50</definedName>
    <definedName name="_xlnm._FilterDatabase" localSheetId="10" hidden="1">шаблон!$A$8:$R$50</definedName>
    <definedName name="_xlnm.Print_Titles" localSheetId="3">'Городская поликлиника'!$7:$13</definedName>
    <definedName name="_xlnm.Print_Titles" localSheetId="1">МОБ!$7:$13</definedName>
    <definedName name="_xlnm.Print_Titles" localSheetId="2">МОЦОМиД!$7:$13</definedName>
    <definedName name="_xlnm.Print_Titles" localSheetId="0">СВОД!$2:$8</definedName>
    <definedName name="_xlnm.Print_Titles" localSheetId="10">шаблон!$2:$8</definedName>
    <definedName name="_xlnm.Print_Area" localSheetId="3">'Городская поликлиника'!$A$1:$R$52</definedName>
    <definedName name="_xlnm.Print_Area" localSheetId="1">МОБ!$A$1:$R$52</definedName>
    <definedName name="_xlnm.Print_Area" localSheetId="2">МОЦОМиД!$A$1:$R$52</definedName>
    <definedName name="_xlnm.Print_Area" localSheetId="7">'ПР_4 ОБЪЕМ СРЕДСТВ (АМП)'!$A$1:$F$127</definedName>
    <definedName name="_xlnm.Print_Area" localSheetId="6">'ПР_4 ОБЪЕМ СРЕДСТВ (Основной)'!$A$1:$F$139</definedName>
    <definedName name="_xlnm.Print_Area" localSheetId="8">'ПР_4 ОБЪЕМ СРЕДСТВ (СТОМАТ)'!$A$1:$F$127</definedName>
    <definedName name="_xlnm.Print_Area" localSheetId="9">'Пр_5_СВОД СТИМУЛ ВЫПЛАТ'!$A$1:$M$22</definedName>
    <definedName name="_xlnm.Print_Area" localSheetId="4">Прил_2_Ранжирование!$A$1:$D$34</definedName>
    <definedName name="_xlnm.Print_Area" localSheetId="5">'Прил_3_Доп. критерии'!$A$1:$K$21</definedName>
    <definedName name="_xlnm.Print_Area" localSheetId="0">СВОД!$A$1:$R$47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4" l="1"/>
  <c r="E58" i="4"/>
  <c r="F58" i="4"/>
  <c r="G58" i="4"/>
  <c r="H58" i="4"/>
  <c r="I58" i="4"/>
  <c r="J58" i="4"/>
  <c r="K58" i="4"/>
  <c r="L58" i="4"/>
  <c r="M58" i="4"/>
  <c r="N58" i="4"/>
  <c r="O58" i="4"/>
  <c r="P58" i="4"/>
  <c r="Q58" i="4"/>
  <c r="R58" i="4"/>
  <c r="C58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C56" i="4"/>
  <c r="D43" i="6" l="1"/>
  <c r="D43" i="4"/>
  <c r="C15" i="4" l="1"/>
  <c r="C15" i="6" l="1"/>
  <c r="D15" i="6" l="1"/>
  <c r="D15" i="4" l="1"/>
  <c r="O15" i="6" l="1"/>
  <c r="O15" i="4"/>
  <c r="N15" i="4" l="1"/>
  <c r="N15" i="6"/>
  <c r="F54" i="7" l="1"/>
  <c r="M54" i="7"/>
  <c r="E22" i="9" l="1"/>
  <c r="E21" i="9"/>
  <c r="G21" i="9"/>
  <c r="I17" i="13" l="1"/>
  <c r="I16" i="13"/>
  <c r="I14" i="13"/>
  <c r="H25" i="5"/>
  <c r="H24" i="5"/>
  <c r="H23" i="5"/>
  <c r="B24" i="12" l="1"/>
  <c r="U124" i="14"/>
  <c r="E124" i="14" s="1"/>
  <c r="T124" i="14"/>
  <c r="T118" i="14"/>
  <c r="U118" i="14" s="1"/>
  <c r="E118" i="14" s="1"/>
  <c r="E87" i="14"/>
  <c r="E109" i="14" s="1"/>
  <c r="S111" i="14"/>
  <c r="R111" i="14"/>
  <c r="Q111" i="14"/>
  <c r="P111" i="14"/>
  <c r="O111" i="14"/>
  <c r="N111" i="14"/>
  <c r="M111" i="14"/>
  <c r="L111" i="14"/>
  <c r="K111" i="14"/>
  <c r="J111" i="14"/>
  <c r="I111" i="14"/>
  <c r="H111" i="14"/>
  <c r="T77" i="14"/>
  <c r="U77" i="14" s="1"/>
  <c r="U71" i="14"/>
  <c r="T71" i="14"/>
  <c r="S64" i="14"/>
  <c r="R64" i="14"/>
  <c r="Q64" i="14"/>
  <c r="P64" i="14"/>
  <c r="O64" i="14"/>
  <c r="N64" i="14"/>
  <c r="M64" i="14"/>
  <c r="L64" i="14"/>
  <c r="K64" i="14"/>
  <c r="J64" i="14"/>
  <c r="T64" i="14" s="1"/>
  <c r="U64" i="14" s="1"/>
  <c r="I64" i="14"/>
  <c r="H64" i="14"/>
  <c r="T35" i="14"/>
  <c r="U35" i="14" s="1"/>
  <c r="T30" i="14"/>
  <c r="U30" i="14" s="1"/>
  <c r="U29" i="14"/>
  <c r="T29" i="14"/>
  <c r="S22" i="14"/>
  <c r="I22" i="14"/>
  <c r="J22" i="14"/>
  <c r="K22" i="14"/>
  <c r="L22" i="14"/>
  <c r="M22" i="14"/>
  <c r="N22" i="14"/>
  <c r="O22" i="14"/>
  <c r="P22" i="14"/>
  <c r="Q22" i="14"/>
  <c r="R22" i="14"/>
  <c r="H22" i="14"/>
  <c r="I43" i="14"/>
  <c r="J43" i="14"/>
  <c r="K43" i="14"/>
  <c r="L43" i="14"/>
  <c r="M43" i="14"/>
  <c r="N43" i="14"/>
  <c r="O43" i="14"/>
  <c r="P43" i="14"/>
  <c r="Q43" i="14"/>
  <c r="R43" i="14"/>
  <c r="S43" i="14"/>
  <c r="H43" i="14"/>
  <c r="T111" i="14" l="1"/>
  <c r="U111" i="14" s="1"/>
  <c r="E111" i="14" s="1"/>
  <c r="G111" i="14" s="1"/>
  <c r="E113" i="14" l="1"/>
  <c r="E120" i="14" s="1"/>
  <c r="I20" i="12" s="1"/>
  <c r="E126" i="14" l="1"/>
  <c r="J20" i="12" s="1"/>
  <c r="G109" i="14"/>
  <c r="D19" i="12" l="1"/>
  <c r="C19" i="12"/>
  <c r="K17" i="13" l="1"/>
  <c r="K16" i="13"/>
  <c r="K14" i="13"/>
  <c r="K3" i="13"/>
  <c r="E15" i="13" l="1"/>
  <c r="U38" i="4" l="1"/>
  <c r="E39" i="4" l="1"/>
  <c r="T40" i="6"/>
  <c r="T42" i="6" s="1"/>
  <c r="T41" i="6"/>
  <c r="T39" i="4"/>
  <c r="T40" i="4"/>
  <c r="T133" i="9"/>
  <c r="U133" i="9" s="1"/>
  <c r="T127" i="9"/>
  <c r="U127" i="9" s="1"/>
  <c r="S120" i="9"/>
  <c r="R120" i="9"/>
  <c r="Q120" i="9"/>
  <c r="P120" i="9"/>
  <c r="O120" i="9"/>
  <c r="N120" i="9"/>
  <c r="M120" i="9"/>
  <c r="L120" i="9"/>
  <c r="K120" i="9"/>
  <c r="J120" i="9"/>
  <c r="T120" i="9" s="1"/>
  <c r="U120" i="9" s="1"/>
  <c r="I120" i="9"/>
  <c r="H120" i="9"/>
  <c r="K24" i="12"/>
  <c r="I111" i="15"/>
  <c r="J111" i="15"/>
  <c r="K111" i="15"/>
  <c r="L111" i="15"/>
  <c r="M111" i="15"/>
  <c r="N111" i="15"/>
  <c r="O111" i="15"/>
  <c r="P111" i="15"/>
  <c r="Q111" i="15"/>
  <c r="R111" i="15"/>
  <c r="S111" i="15"/>
  <c r="T124" i="15"/>
  <c r="U124" i="15" s="1"/>
  <c r="E124" i="15" s="1"/>
  <c r="T118" i="15"/>
  <c r="U118" i="15" s="1"/>
  <c r="E118" i="15" s="1"/>
  <c r="E89" i="15"/>
  <c r="E87" i="15"/>
  <c r="I22" i="15"/>
  <c r="J22" i="15"/>
  <c r="K22" i="15"/>
  <c r="L22" i="15"/>
  <c r="M22" i="15"/>
  <c r="N22" i="15"/>
  <c r="O22" i="15"/>
  <c r="P22" i="15"/>
  <c r="Q22" i="15"/>
  <c r="R22" i="15"/>
  <c r="S22" i="15"/>
  <c r="H111" i="15"/>
  <c r="I43" i="15"/>
  <c r="J43" i="15"/>
  <c r="K43" i="15"/>
  <c r="L43" i="15"/>
  <c r="M43" i="15"/>
  <c r="N43" i="15"/>
  <c r="O43" i="15"/>
  <c r="P43" i="15"/>
  <c r="Q43" i="15"/>
  <c r="R43" i="15"/>
  <c r="S43" i="15"/>
  <c r="E109" i="15" l="1"/>
  <c r="E92" i="15"/>
  <c r="T111" i="15"/>
  <c r="U111" i="15" s="1"/>
  <c r="E111" i="15" s="1"/>
  <c r="G111" i="15"/>
  <c r="E113" i="15"/>
  <c r="I64" i="15"/>
  <c r="I14" i="15" s="1"/>
  <c r="J64" i="15"/>
  <c r="J14" i="15" s="1"/>
  <c r="K64" i="15"/>
  <c r="K14" i="15" s="1"/>
  <c r="L64" i="15"/>
  <c r="M64" i="15"/>
  <c r="M14" i="15" s="1"/>
  <c r="N64" i="15"/>
  <c r="O64" i="15"/>
  <c r="O14" i="15" s="1"/>
  <c r="P64" i="15"/>
  <c r="P14" i="15" s="1"/>
  <c r="Q64" i="15"/>
  <c r="Q14" i="15" s="1"/>
  <c r="R64" i="15"/>
  <c r="S64" i="15"/>
  <c r="H22" i="15"/>
  <c r="T77" i="15"/>
  <c r="U77" i="15" s="1"/>
  <c r="E77" i="15" s="1"/>
  <c r="T71" i="15"/>
  <c r="U71" i="15" s="1"/>
  <c r="E71" i="15" s="1"/>
  <c r="H64" i="15"/>
  <c r="T56" i="15"/>
  <c r="U56" i="15" s="1"/>
  <c r="E56" i="15" s="1"/>
  <c r="T50" i="15"/>
  <c r="U50" i="15" s="1"/>
  <c r="E50" i="15" s="1"/>
  <c r="H43" i="15"/>
  <c r="T35" i="15"/>
  <c r="U35" i="15" s="1"/>
  <c r="E35" i="15" s="1"/>
  <c r="T29" i="15"/>
  <c r="U29" i="15" s="1"/>
  <c r="E29" i="15" s="1"/>
  <c r="S14" i="15"/>
  <c r="E12" i="15"/>
  <c r="H24" i="12"/>
  <c r="I19" i="9"/>
  <c r="J19" i="9"/>
  <c r="K19" i="9"/>
  <c r="L19" i="9"/>
  <c r="M19" i="9"/>
  <c r="N19" i="9"/>
  <c r="O19" i="9"/>
  <c r="P19" i="9"/>
  <c r="Q19" i="9"/>
  <c r="R19" i="9"/>
  <c r="S19" i="9"/>
  <c r="H19" i="9"/>
  <c r="I28" i="9"/>
  <c r="J28" i="9"/>
  <c r="K28" i="9"/>
  <c r="L28" i="9"/>
  <c r="M28" i="9"/>
  <c r="N28" i="9"/>
  <c r="O28" i="9"/>
  <c r="P28" i="9"/>
  <c r="Q28" i="9"/>
  <c r="R28" i="9"/>
  <c r="S28" i="9"/>
  <c r="T28" i="9"/>
  <c r="T42" i="9"/>
  <c r="T36" i="9"/>
  <c r="T50" i="9"/>
  <c r="I50" i="9"/>
  <c r="J50" i="9"/>
  <c r="K50" i="9"/>
  <c r="L50" i="9"/>
  <c r="M50" i="9"/>
  <c r="N50" i="9"/>
  <c r="O50" i="9"/>
  <c r="P50" i="9"/>
  <c r="Q50" i="9"/>
  <c r="R50" i="9"/>
  <c r="S50" i="9"/>
  <c r="T64" i="9"/>
  <c r="T58" i="9"/>
  <c r="T86" i="9"/>
  <c r="T80" i="9"/>
  <c r="T72" i="9"/>
  <c r="I72" i="9"/>
  <c r="J72" i="9"/>
  <c r="K72" i="9"/>
  <c r="L72" i="9"/>
  <c r="M72" i="9"/>
  <c r="N72" i="9"/>
  <c r="O72" i="9"/>
  <c r="P72" i="9"/>
  <c r="Q72" i="9"/>
  <c r="R72" i="9"/>
  <c r="S72" i="9"/>
  <c r="I14" i="14"/>
  <c r="J14" i="14"/>
  <c r="K14" i="14"/>
  <c r="M14" i="14"/>
  <c r="O14" i="14"/>
  <c r="P14" i="14"/>
  <c r="Q14" i="14"/>
  <c r="S14" i="14"/>
  <c r="T56" i="14"/>
  <c r="T50" i="14"/>
  <c r="U50" i="14" s="1"/>
  <c r="L14" i="14"/>
  <c r="N14" i="14"/>
  <c r="R14" i="14"/>
  <c r="E120" i="15" l="1"/>
  <c r="E126" i="15"/>
  <c r="M21" i="12" s="1"/>
  <c r="G7" i="15"/>
  <c r="E16" i="15"/>
  <c r="T43" i="14"/>
  <c r="U43" i="14" s="1"/>
  <c r="U56" i="14"/>
  <c r="E56" i="14" s="1"/>
  <c r="T64" i="15"/>
  <c r="U64" i="15" s="1"/>
  <c r="E64" i="15" s="1"/>
  <c r="G64" i="15" s="1"/>
  <c r="T43" i="15"/>
  <c r="U43" i="15" s="1"/>
  <c r="E43" i="15" s="1"/>
  <c r="G43" i="15" s="1"/>
  <c r="N14" i="15"/>
  <c r="R14" i="15"/>
  <c r="L14" i="15"/>
  <c r="T22" i="15"/>
  <c r="U22" i="15" s="1"/>
  <c r="E22" i="15" s="1"/>
  <c r="G22" i="15" s="1"/>
  <c r="H14" i="15"/>
  <c r="T19" i="9"/>
  <c r="K20" i="12"/>
  <c r="K19" i="12"/>
  <c r="H21" i="12"/>
  <c r="H20" i="12"/>
  <c r="H22" i="12" s="1"/>
  <c r="H19" i="12"/>
  <c r="B19" i="12"/>
  <c r="E77" i="14"/>
  <c r="E71" i="14"/>
  <c r="E50" i="14"/>
  <c r="E35" i="14"/>
  <c r="E29" i="14"/>
  <c r="E12" i="14"/>
  <c r="E16" i="14" s="1"/>
  <c r="E21" i="12"/>
  <c r="E133" i="9"/>
  <c r="E127" i="9"/>
  <c r="E120" i="9"/>
  <c r="E17" i="9"/>
  <c r="E96" i="9"/>
  <c r="E118" i="9" s="1"/>
  <c r="E122" i="9" s="1"/>
  <c r="E24" i="15" l="1"/>
  <c r="E79" i="15"/>
  <c r="M16" i="12" s="1"/>
  <c r="E73" i="15"/>
  <c r="L16" i="12" s="1"/>
  <c r="K16" i="12" s="1"/>
  <c r="M11" i="12"/>
  <c r="D21" i="12"/>
  <c r="G109" i="15"/>
  <c r="L21" i="12"/>
  <c r="E24" i="12"/>
  <c r="T22" i="14"/>
  <c r="U22" i="14" s="1"/>
  <c r="H14" i="14"/>
  <c r="T14" i="14" s="1"/>
  <c r="U14" i="14" s="1"/>
  <c r="E14" i="14" s="1"/>
  <c r="E79" i="14" s="1"/>
  <c r="J16" i="12" s="1"/>
  <c r="J11" i="12" s="1"/>
  <c r="E135" i="9"/>
  <c r="G20" i="12" s="1"/>
  <c r="E129" i="9"/>
  <c r="T14" i="15"/>
  <c r="U14" i="15" s="1"/>
  <c r="E14" i="15" s="1"/>
  <c r="E64" i="14"/>
  <c r="G64" i="14" s="1"/>
  <c r="G7" i="14"/>
  <c r="E43" i="14"/>
  <c r="G43" i="14" s="1"/>
  <c r="G120" i="9"/>
  <c r="G12" i="9"/>
  <c r="L11" i="12" l="1"/>
  <c r="K11" i="12" s="1"/>
  <c r="C21" i="12"/>
  <c r="B21" i="12" s="1"/>
  <c r="K21" i="12"/>
  <c r="K22" i="12" s="1"/>
  <c r="G22" i="12"/>
  <c r="D20" i="12"/>
  <c r="D22" i="12" s="1"/>
  <c r="E53" i="9"/>
  <c r="E75" i="9"/>
  <c r="E31" i="9"/>
  <c r="E30" i="9" s="1"/>
  <c r="E22" i="14"/>
  <c r="G22" i="14" s="1"/>
  <c r="F20" i="12"/>
  <c r="C20" i="12" s="1"/>
  <c r="G118" i="9"/>
  <c r="E66" i="15"/>
  <c r="E45" i="15"/>
  <c r="E37" i="15"/>
  <c r="M14" i="12" s="1"/>
  <c r="M9" i="12" s="1"/>
  <c r="M12" i="12" s="1"/>
  <c r="E58" i="15"/>
  <c r="M15" i="12" s="1"/>
  <c r="M10" i="12" s="1"/>
  <c r="G14" i="15"/>
  <c r="E31" i="15"/>
  <c r="L14" i="12" s="1"/>
  <c r="E52" i="15"/>
  <c r="L15" i="12" s="1"/>
  <c r="E58" i="14"/>
  <c r="J15" i="12" s="1"/>
  <c r="E45" i="14"/>
  <c r="E31" i="14"/>
  <c r="I14" i="12" s="1"/>
  <c r="E73" i="14"/>
  <c r="I16" i="12" s="1"/>
  <c r="E37" i="14"/>
  <c r="J14" i="12" s="1"/>
  <c r="E66" i="14"/>
  <c r="E52" i="14"/>
  <c r="I15" i="12" s="1"/>
  <c r="L10" i="12" l="1"/>
  <c r="K10" i="12" s="1"/>
  <c r="K15" i="12"/>
  <c r="L9" i="12"/>
  <c r="K14" i="12"/>
  <c r="K17" i="12" s="1"/>
  <c r="J17" i="12"/>
  <c r="J10" i="12"/>
  <c r="I17" i="12"/>
  <c r="I11" i="12"/>
  <c r="H11" i="12" s="1"/>
  <c r="H16" i="12"/>
  <c r="I10" i="12"/>
  <c r="H10" i="12" s="1"/>
  <c r="H15" i="12"/>
  <c r="C22" i="12"/>
  <c r="B20" i="12"/>
  <c r="B22" i="12" s="1"/>
  <c r="E88" i="9"/>
  <c r="E82" i="9"/>
  <c r="E74" i="9"/>
  <c r="E44" i="9"/>
  <c r="E38" i="9"/>
  <c r="E66" i="9"/>
  <c r="E52" i="9"/>
  <c r="E60" i="9"/>
  <c r="E24" i="14"/>
  <c r="G12" i="14" s="1"/>
  <c r="G14" i="14"/>
  <c r="J9" i="12"/>
  <c r="J12" i="12" s="1"/>
  <c r="I9" i="12"/>
  <c r="H14" i="12"/>
  <c r="F22" i="12"/>
  <c r="E22" i="12" s="1"/>
  <c r="E20" i="12"/>
  <c r="G12" i="15"/>
  <c r="G24" i="15"/>
  <c r="G66" i="15"/>
  <c r="G45" i="15"/>
  <c r="G45" i="14"/>
  <c r="G66" i="14"/>
  <c r="K9" i="12" l="1"/>
  <c r="K12" i="12" s="1"/>
  <c r="K25" i="12" s="1"/>
  <c r="L12" i="12"/>
  <c r="H17" i="12"/>
  <c r="G17" i="9"/>
  <c r="G24" i="14"/>
  <c r="I12" i="12"/>
  <c r="H9" i="12"/>
  <c r="H12" i="12" s="1"/>
  <c r="H25" i="12" s="1"/>
  <c r="U40" i="4" l="1"/>
  <c r="D29" i="8"/>
  <c r="E16" i="13"/>
  <c r="E17" i="13"/>
  <c r="E14" i="13"/>
  <c r="U86" i="9"/>
  <c r="E86" i="9" s="1"/>
  <c r="U80" i="9"/>
  <c r="E80" i="9" s="1"/>
  <c r="H72" i="9"/>
  <c r="U64" i="9"/>
  <c r="E64" i="9" s="1"/>
  <c r="U58" i="9"/>
  <c r="E58" i="9" s="1"/>
  <c r="H50" i="9"/>
  <c r="U42" i="9"/>
  <c r="E42" i="9" s="1"/>
  <c r="U36" i="9"/>
  <c r="E36" i="9" s="1"/>
  <c r="H28" i="9"/>
  <c r="U19" i="9"/>
  <c r="E19" i="9" s="1"/>
  <c r="U50" i="9" l="1"/>
  <c r="E50" i="9" s="1"/>
  <c r="G50" i="9" s="1"/>
  <c r="U72" i="9"/>
  <c r="E72" i="9" s="1"/>
  <c r="U28" i="9"/>
  <c r="E28" i="9" s="1"/>
  <c r="G19" i="9" l="1"/>
  <c r="G28" i="9"/>
  <c r="G72" i="9"/>
  <c r="F16" i="12" l="1"/>
  <c r="G16" i="12"/>
  <c r="F15" i="12"/>
  <c r="G15" i="12"/>
  <c r="G14" i="12"/>
  <c r="F14" i="12"/>
  <c r="F11" i="12" l="1"/>
  <c r="C11" i="12" s="1"/>
  <c r="C16" i="12"/>
  <c r="F9" i="12"/>
  <c r="C9" i="12" s="1"/>
  <c r="C14" i="12"/>
  <c r="G9" i="12"/>
  <c r="D9" i="12" s="1"/>
  <c r="D14" i="12"/>
  <c r="G10" i="12"/>
  <c r="D10" i="12" s="1"/>
  <c r="D15" i="12"/>
  <c r="F10" i="12"/>
  <c r="C10" i="12" s="1"/>
  <c r="C15" i="12"/>
  <c r="G11" i="12"/>
  <c r="D11" i="12" s="1"/>
  <c r="D16" i="12"/>
  <c r="F12" i="12"/>
  <c r="E9" i="12"/>
  <c r="E14" i="12"/>
  <c r="G52" i="9"/>
  <c r="G74" i="9"/>
  <c r="G17" i="12"/>
  <c r="E15" i="12"/>
  <c r="F17" i="12"/>
  <c r="E16" i="12"/>
  <c r="G30" i="9"/>
  <c r="E11" i="12" l="1"/>
  <c r="C17" i="12"/>
  <c r="B14" i="12"/>
  <c r="G12" i="12"/>
  <c r="C12" i="12"/>
  <c r="B9" i="12"/>
  <c r="B12" i="12" s="1"/>
  <c r="B25" i="12" s="1"/>
  <c r="D17" i="12"/>
  <c r="B15" i="12"/>
  <c r="B16" i="12"/>
  <c r="D12" i="12"/>
  <c r="E10" i="12"/>
  <c r="B10" i="12"/>
  <c r="B11" i="12"/>
  <c r="E12" i="12"/>
  <c r="E25" i="12" s="1"/>
  <c r="E17" i="12"/>
  <c r="B17" i="12" l="1"/>
  <c r="U30" i="5"/>
  <c r="F52" i="7" l="1"/>
  <c r="I52" i="7"/>
  <c r="I54" i="7" s="1"/>
  <c r="J52" i="7"/>
  <c r="J54" i="7" s="1"/>
  <c r="K52" i="7"/>
  <c r="K54" i="7" s="1"/>
  <c r="L52" i="7"/>
  <c r="L54" i="7" s="1"/>
  <c r="M52" i="7"/>
  <c r="Q52" i="7"/>
  <c r="Q54" i="7" s="1"/>
  <c r="R52" i="7"/>
  <c r="T35" i="4" l="1"/>
  <c r="O32" i="7" l="1"/>
  <c r="N32" i="7"/>
  <c r="U41" i="5" l="1"/>
  <c r="T41" i="5"/>
  <c r="U40" i="5"/>
  <c r="T40" i="5"/>
  <c r="U39" i="5"/>
  <c r="T39" i="5"/>
  <c r="U38" i="5"/>
  <c r="T38" i="5"/>
  <c r="U37" i="5"/>
  <c r="T37" i="5"/>
  <c r="U35" i="5"/>
  <c r="T35" i="5"/>
  <c r="U34" i="5"/>
  <c r="T34" i="5"/>
  <c r="U33" i="5"/>
  <c r="T33" i="5"/>
  <c r="U32" i="5"/>
  <c r="T32" i="5"/>
  <c r="U31" i="5"/>
  <c r="T31" i="5"/>
  <c r="T30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42" i="6"/>
  <c r="U41" i="6"/>
  <c r="U40" i="6"/>
  <c r="U39" i="6"/>
  <c r="U38" i="6"/>
  <c r="U37" i="6"/>
  <c r="U35" i="6"/>
  <c r="T35" i="6"/>
  <c r="U34" i="6"/>
  <c r="T34" i="6"/>
  <c r="U33" i="6"/>
  <c r="T33" i="6"/>
  <c r="U32" i="6"/>
  <c r="T32" i="6"/>
  <c r="U31" i="6"/>
  <c r="T31" i="6"/>
  <c r="U30" i="6"/>
  <c r="T30" i="6"/>
  <c r="U28" i="6"/>
  <c r="T28" i="6"/>
  <c r="U27" i="6"/>
  <c r="T27" i="6"/>
  <c r="U26" i="6"/>
  <c r="T26" i="6"/>
  <c r="U25" i="6"/>
  <c r="T25" i="6"/>
  <c r="U24" i="6"/>
  <c r="T24" i="6"/>
  <c r="U23" i="6"/>
  <c r="T23" i="6"/>
  <c r="U22" i="6"/>
  <c r="T22" i="6"/>
  <c r="U21" i="6"/>
  <c r="T21" i="6"/>
  <c r="U20" i="6"/>
  <c r="U19" i="6"/>
  <c r="T19" i="6"/>
  <c r="U18" i="6"/>
  <c r="T18" i="6"/>
  <c r="U17" i="6"/>
  <c r="T17" i="6"/>
  <c r="U16" i="6"/>
  <c r="T16" i="6"/>
  <c r="U15" i="6"/>
  <c r="T15" i="6"/>
  <c r="T36" i="6" s="1"/>
  <c r="T38" i="4"/>
  <c r="U39" i="4"/>
  <c r="T41" i="4"/>
  <c r="U41" i="4"/>
  <c r="U37" i="4"/>
  <c r="T37" i="4"/>
  <c r="T33" i="4"/>
  <c r="U33" i="4"/>
  <c r="T34" i="4"/>
  <c r="U34" i="4"/>
  <c r="U35" i="4"/>
  <c r="T31" i="4"/>
  <c r="U31" i="4"/>
  <c r="T32" i="4"/>
  <c r="U32" i="4"/>
  <c r="T30" i="4"/>
  <c r="U30" i="4"/>
  <c r="T25" i="4"/>
  <c r="U25" i="4"/>
  <c r="T26" i="4"/>
  <c r="U26" i="4"/>
  <c r="T27" i="4"/>
  <c r="U27" i="4"/>
  <c r="T28" i="4"/>
  <c r="U28" i="4"/>
  <c r="T23" i="4"/>
  <c r="U23" i="4"/>
  <c r="T24" i="4"/>
  <c r="U24" i="4"/>
  <c r="T22" i="4"/>
  <c r="U22" i="4"/>
  <c r="T21" i="4"/>
  <c r="U21" i="4"/>
  <c r="U20" i="4"/>
  <c r="T19" i="4"/>
  <c r="U19" i="4"/>
  <c r="T18" i="4"/>
  <c r="U18" i="4"/>
  <c r="T17" i="4"/>
  <c r="U17" i="4"/>
  <c r="T16" i="4"/>
  <c r="U16" i="4"/>
  <c r="U15" i="4"/>
  <c r="T15" i="4"/>
  <c r="U42" i="5" l="1"/>
  <c r="E89" i="14" s="1"/>
  <c r="E92" i="14" s="1"/>
  <c r="U36" i="5"/>
  <c r="E98" i="9" s="1"/>
  <c r="E101" i="9" s="1"/>
  <c r="T42" i="4"/>
  <c r="T42" i="5"/>
  <c r="V42" i="5" s="1"/>
  <c r="D24" i="8" s="1"/>
  <c r="U42" i="4"/>
  <c r="V42" i="6"/>
  <c r="T36" i="5"/>
  <c r="U36" i="6"/>
  <c r="V36" i="6" s="1"/>
  <c r="D15" i="8" s="1"/>
  <c r="U36" i="4"/>
  <c r="T36" i="4"/>
  <c r="V36" i="5" l="1"/>
  <c r="D16" i="8" s="1"/>
  <c r="V42" i="4"/>
  <c r="D22" i="8" s="1"/>
  <c r="V36" i="4"/>
  <c r="D11" i="8" s="1"/>
  <c r="D30" i="8" l="1"/>
  <c r="A6" i="6" l="1"/>
  <c r="A6" i="5"/>
  <c r="A6" i="4"/>
  <c r="U10" i="7" l="1"/>
  <c r="T10" i="7"/>
  <c r="V10" i="7" l="1"/>
  <c r="P12" i="3"/>
  <c r="E43" i="6" l="1"/>
  <c r="H43" i="6" s="1"/>
  <c r="P43" i="5"/>
  <c r="E43" i="5"/>
  <c r="H43" i="5" s="1"/>
  <c r="O35" i="7"/>
  <c r="N35" i="7"/>
  <c r="O34" i="7"/>
  <c r="N34" i="7"/>
  <c r="O23" i="7"/>
  <c r="N23" i="7"/>
  <c r="O22" i="7"/>
  <c r="N22" i="7"/>
  <c r="O21" i="7"/>
  <c r="N21" i="7"/>
  <c r="O17" i="7"/>
  <c r="N17" i="7"/>
  <c r="O16" i="7"/>
  <c r="N16" i="7"/>
  <c r="O14" i="7"/>
  <c r="N14" i="7"/>
  <c r="O13" i="7"/>
  <c r="N13" i="7"/>
  <c r="O12" i="7"/>
  <c r="N12" i="7"/>
  <c r="O11" i="7"/>
  <c r="N11" i="7"/>
  <c r="O10" i="7"/>
  <c r="N10" i="7"/>
  <c r="D38" i="7"/>
  <c r="C38" i="7"/>
  <c r="D36" i="7"/>
  <c r="C36" i="7"/>
  <c r="D35" i="7"/>
  <c r="C35" i="7"/>
  <c r="D34" i="7"/>
  <c r="C34" i="7"/>
  <c r="D33" i="7"/>
  <c r="C33" i="7"/>
  <c r="D32" i="7"/>
  <c r="C32" i="7"/>
  <c r="D30" i="7"/>
  <c r="C30" i="7"/>
  <c r="D29" i="7"/>
  <c r="C29" i="7"/>
  <c r="D28" i="7"/>
  <c r="C28" i="7"/>
  <c r="D27" i="7"/>
  <c r="C27" i="7"/>
  <c r="D26" i="7"/>
  <c r="C26" i="7"/>
  <c r="D25" i="7"/>
  <c r="C25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D13" i="7"/>
  <c r="C13" i="7"/>
  <c r="D12" i="7"/>
  <c r="C12" i="7"/>
  <c r="D11" i="7"/>
  <c r="C11" i="7"/>
  <c r="D10" i="7"/>
  <c r="C10" i="7"/>
  <c r="P32" i="7"/>
  <c r="D52" i="7" l="1"/>
  <c r="D54" i="7" s="1"/>
  <c r="O52" i="7"/>
  <c r="O54" i="7" s="1"/>
  <c r="N52" i="7"/>
  <c r="N54" i="7" s="1"/>
  <c r="C52" i="7"/>
  <c r="C54" i="7" s="1"/>
  <c r="E36" i="7"/>
  <c r="H36" i="7" s="1"/>
  <c r="E33" i="7"/>
  <c r="H33" i="7" s="1"/>
  <c r="E32" i="7"/>
  <c r="G32" i="7" s="1"/>
  <c r="E25" i="7"/>
  <c r="H25" i="7" s="1"/>
  <c r="E15" i="7"/>
  <c r="H15" i="7" s="1"/>
  <c r="P11" i="7"/>
  <c r="P35" i="7"/>
  <c r="P34" i="7"/>
  <c r="E35" i="7"/>
  <c r="E34" i="7"/>
  <c r="E29" i="7"/>
  <c r="H29" i="7" s="1"/>
  <c r="E28" i="7"/>
  <c r="H28" i="7" s="1"/>
  <c r="E27" i="7"/>
  <c r="H27" i="7" s="1"/>
  <c r="E23" i="7"/>
  <c r="E22" i="7"/>
  <c r="E21" i="7"/>
  <c r="E20" i="7"/>
  <c r="H20" i="7" s="1"/>
  <c r="E19" i="7"/>
  <c r="H19" i="7" s="1"/>
  <c r="E17" i="7"/>
  <c r="E16" i="7"/>
  <c r="E13" i="7"/>
  <c r="E12" i="7"/>
  <c r="E30" i="7"/>
  <c r="H30" i="7" s="1"/>
  <c r="E26" i="7"/>
  <c r="H26" i="7" s="1"/>
  <c r="E18" i="7"/>
  <c r="H18" i="7" s="1"/>
  <c r="E14" i="7"/>
  <c r="P23" i="7"/>
  <c r="P22" i="7"/>
  <c r="P21" i="7"/>
  <c r="P17" i="7"/>
  <c r="P16" i="7"/>
  <c r="P13" i="7"/>
  <c r="P14" i="7"/>
  <c r="P12" i="7"/>
  <c r="E11" i="7"/>
  <c r="E38" i="7"/>
  <c r="H38" i="7" s="1"/>
  <c r="P10" i="7"/>
  <c r="E10" i="7"/>
  <c r="E41" i="6"/>
  <c r="H41" i="6" s="1"/>
  <c r="P40" i="6"/>
  <c r="E40" i="6"/>
  <c r="P39" i="6"/>
  <c r="E39" i="6"/>
  <c r="E38" i="6"/>
  <c r="H38" i="6" s="1"/>
  <c r="P37" i="6"/>
  <c r="E37" i="6"/>
  <c r="G37" i="6" s="1"/>
  <c r="H35" i="6"/>
  <c r="E35" i="6"/>
  <c r="H34" i="6"/>
  <c r="E34" i="6"/>
  <c r="E33" i="6"/>
  <c r="H33" i="6" s="1"/>
  <c r="E32" i="6"/>
  <c r="H32" i="6" s="1"/>
  <c r="E31" i="6"/>
  <c r="H31" i="6" s="1"/>
  <c r="E30" i="6"/>
  <c r="P28" i="6"/>
  <c r="E28" i="6"/>
  <c r="P27" i="6"/>
  <c r="E27" i="6"/>
  <c r="P26" i="6"/>
  <c r="E26" i="6"/>
  <c r="E25" i="6"/>
  <c r="H25" i="6" s="1"/>
  <c r="E24" i="6"/>
  <c r="H24" i="6" s="1"/>
  <c r="E23" i="6"/>
  <c r="H23" i="6" s="1"/>
  <c r="P22" i="6"/>
  <c r="E22" i="6"/>
  <c r="P21" i="6"/>
  <c r="E21" i="6"/>
  <c r="E20" i="6"/>
  <c r="H20" i="6" s="1"/>
  <c r="P19" i="6"/>
  <c r="E19" i="6"/>
  <c r="P18" i="6"/>
  <c r="E18" i="6"/>
  <c r="P17" i="6"/>
  <c r="E17" i="6"/>
  <c r="P16" i="6"/>
  <c r="E16" i="6"/>
  <c r="P15" i="6"/>
  <c r="E15" i="6"/>
  <c r="E41" i="5"/>
  <c r="H41" i="5" s="1"/>
  <c r="P40" i="5"/>
  <c r="E40" i="5"/>
  <c r="G40" i="5" s="1"/>
  <c r="P39" i="5"/>
  <c r="E39" i="5"/>
  <c r="G39" i="5" s="1"/>
  <c r="E38" i="5"/>
  <c r="H38" i="5" s="1"/>
  <c r="P37" i="5"/>
  <c r="E37" i="5"/>
  <c r="E35" i="5"/>
  <c r="H35" i="5" s="1"/>
  <c r="E34" i="5"/>
  <c r="H34" i="5" s="1"/>
  <c r="E33" i="5"/>
  <c r="H33" i="5" s="1"/>
  <c r="E32" i="5"/>
  <c r="H32" i="5" s="1"/>
  <c r="E31" i="5"/>
  <c r="E30" i="5"/>
  <c r="P28" i="5"/>
  <c r="E28" i="5"/>
  <c r="G28" i="5" s="1"/>
  <c r="P27" i="5"/>
  <c r="E27" i="5"/>
  <c r="G27" i="5" s="1"/>
  <c r="P26" i="5"/>
  <c r="G26" i="5"/>
  <c r="E26" i="5"/>
  <c r="E25" i="5"/>
  <c r="E24" i="5"/>
  <c r="E23" i="5"/>
  <c r="P22" i="5"/>
  <c r="E22" i="5"/>
  <c r="G22" i="5" s="1"/>
  <c r="P21" i="5"/>
  <c r="E21" i="5"/>
  <c r="G21" i="5" s="1"/>
  <c r="E20" i="5"/>
  <c r="H20" i="5" s="1"/>
  <c r="P19" i="5"/>
  <c r="E19" i="5"/>
  <c r="G19" i="5" s="1"/>
  <c r="P18" i="5"/>
  <c r="E18" i="5"/>
  <c r="G18" i="5" s="1"/>
  <c r="P17" i="5"/>
  <c r="G17" i="5"/>
  <c r="E17" i="5"/>
  <c r="P16" i="5"/>
  <c r="E16" i="5"/>
  <c r="G16" i="5" s="1"/>
  <c r="P15" i="5"/>
  <c r="E15" i="5"/>
  <c r="G15" i="5" s="1"/>
  <c r="E43" i="4"/>
  <c r="H43" i="4" s="1"/>
  <c r="E41" i="4"/>
  <c r="H41" i="4" s="1"/>
  <c r="P40" i="4"/>
  <c r="E40" i="4"/>
  <c r="P39" i="4"/>
  <c r="E38" i="4"/>
  <c r="H38" i="4" s="1"/>
  <c r="P37" i="4"/>
  <c r="E37" i="4"/>
  <c r="E35" i="4"/>
  <c r="H35" i="4" s="1"/>
  <c r="E34" i="4"/>
  <c r="H34" i="4" s="1"/>
  <c r="E33" i="4"/>
  <c r="H33" i="4" s="1"/>
  <c r="E32" i="4"/>
  <c r="H32" i="4" s="1"/>
  <c r="E31" i="4"/>
  <c r="H31" i="4" s="1"/>
  <c r="E30" i="4"/>
  <c r="H30" i="4" s="1"/>
  <c r="P28" i="4"/>
  <c r="E28" i="4"/>
  <c r="P27" i="4"/>
  <c r="E27" i="4"/>
  <c r="P26" i="4"/>
  <c r="E26" i="4"/>
  <c r="E25" i="4"/>
  <c r="H25" i="4" s="1"/>
  <c r="E24" i="4"/>
  <c r="H24" i="4" s="1"/>
  <c r="E23" i="4"/>
  <c r="H23" i="4" s="1"/>
  <c r="P22" i="4"/>
  <c r="E22" i="4"/>
  <c r="P21" i="4"/>
  <c r="E21" i="4"/>
  <c r="E20" i="4"/>
  <c r="H20" i="4" s="1"/>
  <c r="P19" i="4"/>
  <c r="E19" i="4"/>
  <c r="P18" i="4"/>
  <c r="E18" i="4"/>
  <c r="P17" i="4"/>
  <c r="E17" i="4"/>
  <c r="P16" i="4"/>
  <c r="E16" i="4"/>
  <c r="P15" i="4"/>
  <c r="E15" i="4"/>
  <c r="H38" i="3"/>
  <c r="H36" i="3"/>
  <c r="H33" i="3"/>
  <c r="H30" i="3"/>
  <c r="H29" i="3"/>
  <c r="H28" i="3"/>
  <c r="H27" i="3"/>
  <c r="H26" i="3"/>
  <c r="H15" i="3"/>
  <c r="G35" i="3"/>
  <c r="G34" i="3"/>
  <c r="G32" i="3"/>
  <c r="G23" i="3"/>
  <c r="G22" i="3"/>
  <c r="G21" i="3"/>
  <c r="G17" i="3"/>
  <c r="G16" i="3"/>
  <c r="G14" i="3"/>
  <c r="G13" i="3"/>
  <c r="G11" i="3"/>
  <c r="G10" i="3"/>
  <c r="P10" i="3"/>
  <c r="P13" i="3"/>
  <c r="P11" i="3"/>
  <c r="P14" i="3"/>
  <c r="P16" i="3"/>
  <c r="P17" i="3"/>
  <c r="P22" i="3"/>
  <c r="P21" i="3"/>
  <c r="P23" i="3"/>
  <c r="P32" i="3"/>
  <c r="P34" i="3"/>
  <c r="P35" i="3"/>
  <c r="E38" i="3"/>
  <c r="E36" i="3"/>
  <c r="E35" i="3"/>
  <c r="E34" i="3"/>
  <c r="E33" i="3"/>
  <c r="E32" i="3"/>
  <c r="E30" i="3"/>
  <c r="E29" i="3"/>
  <c r="E28" i="3"/>
  <c r="E27" i="3"/>
  <c r="E26" i="3"/>
  <c r="E25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H31" i="5" l="1"/>
  <c r="G37" i="5"/>
  <c r="G15" i="4"/>
  <c r="G21" i="4"/>
  <c r="H52" i="7"/>
  <c r="H54" i="7" s="1"/>
  <c r="W10" i="7"/>
  <c r="P52" i="7"/>
  <c r="P54" i="7" s="1"/>
  <c r="E52" i="7"/>
  <c r="E54" i="7" s="1"/>
  <c r="G39" i="6"/>
  <c r="G26" i="6"/>
  <c r="H30" i="5"/>
  <c r="G11" i="7"/>
  <c r="G13" i="7"/>
  <c r="G37" i="4"/>
  <c r="G22" i="6"/>
  <c r="G16" i="7"/>
  <c r="G19" i="6"/>
  <c r="G12" i="7"/>
  <c r="G40" i="6"/>
  <c r="G34" i="7"/>
  <c r="G28" i="6"/>
  <c r="G27" i="6"/>
  <c r="G21" i="6"/>
  <c r="G18" i="6"/>
  <c r="G17" i="6"/>
  <c r="G16" i="6"/>
  <c r="G35" i="7"/>
  <c r="G23" i="7"/>
  <c r="G22" i="7"/>
  <c r="G21" i="7"/>
  <c r="G17" i="7"/>
  <c r="G40" i="4"/>
  <c r="G14" i="7"/>
  <c r="G17" i="4"/>
  <c r="G39" i="4"/>
  <c r="G28" i="4"/>
  <c r="G27" i="4"/>
  <c r="G26" i="4"/>
  <c r="G22" i="4"/>
  <c r="G19" i="4"/>
  <c r="G18" i="4"/>
  <c r="G16" i="4"/>
  <c r="G12" i="3"/>
  <c r="G15" i="6"/>
  <c r="G10" i="7"/>
  <c r="G52" i="7" l="1"/>
  <c r="G54" i="7" s="1"/>
  <c r="D3" i="8"/>
  <c r="F3" i="14"/>
  <c r="F3" i="9"/>
  <c r="R3" i="5"/>
  <c r="J3" i="13"/>
  <c r="F3" i="15"/>
  <c r="M3" i="12"/>
  <c r="R3" i="6"/>
</calcChain>
</file>

<file path=xl/comments1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819- декабрь 2023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 xml:space="preserve">
14021+390 - ЭТО ДЕКАБРЬ 2023 (взрослое население)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мед.эксперт
</t>
        </r>
        <r>
          <rPr>
            <b/>
            <sz val="10"/>
            <color indexed="81"/>
            <rFont val="Tahoma"/>
            <family val="2"/>
            <charset val="204"/>
          </rPr>
          <t>511 - декабрь 2022 года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14824 - ЭТО ДЕКАБРЬ 2022 (взрослое население)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8780 УЕТ за декабрь 2023 года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14161 - декабрь 2023 года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2566 - декабрь 2023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27329+158 - ЭТО ДЕКАБРЬ 2023 ГОДА</t>
        </r>
      </text>
    </comment>
    <comment ref="N15" authorId="0" shapeId="0">
      <text>
        <r>
          <rPr>
            <sz val="9"/>
            <color indexed="81"/>
            <rFont val="Tahoma"/>
            <family val="2"/>
            <charset val="204"/>
          </rPr>
          <t xml:space="preserve"> Мед.эксперт
</t>
        </r>
        <r>
          <rPr>
            <sz val="11"/>
            <color indexed="81"/>
            <rFont val="Tahoma"/>
            <family val="2"/>
            <charset val="204"/>
          </rPr>
          <t>1411 - декабрь 2022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10"/>
            <color indexed="81"/>
            <rFont val="Tahoma"/>
            <family val="2"/>
            <charset val="204"/>
          </rPr>
          <t>21204 - ЭТО ДЕКАБРЬ 2022 ГОДА</t>
        </r>
      </text>
    </comment>
    <comment ref="L3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2 -так как в знаменателе ноль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69790 УЕТ за декабрь 2023 года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47055 - это декабрь 2023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G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с учетом понижающих коэффициентов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<sst xmlns="http://schemas.openxmlformats.org/spreadsheetml/2006/main" count="1454" uniqueCount="221">
  <si>
    <t>Комментарий (необязательно)</t>
  </si>
  <si>
    <t>Аналогичный период годом ранее</t>
  </si>
  <si>
    <t>Доля врачебных посещений с профилактической целью за период, от общего числа посещений за период (включая посещения на дому).</t>
  </si>
  <si>
    <t>Доля взрослых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</si>
  <si>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период.</t>
  </si>
  <si>
    <t>Доля взрослых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</si>
  <si>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</si>
  <si>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>Выполнение плана вакцинации взрослых граждан по эпидемиологическим показаниям за период (коронавирусная инфекция COVID-19)</t>
  </si>
  <si>
    <t xml:space="preserve">Доля взрослых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период. </t>
  </si>
  <si>
    <t>Доля взрослых,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находящихся под диспансерным наблюдением по поводу сахарного диабета за период.</t>
  </si>
  <si>
    <t>Доля взрослых, повторно госпитализированных за период по причине заболеваний сердечно-сосудистой системы или их осложнений в течение года  с момента предыдущей госпитализации, от общего числа взрослых, госпитализированных за период по причине заболеваний сердечно-сосудистой системы или их осложнений.</t>
  </si>
  <si>
    <t>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</si>
  <si>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Доля взрослых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период.</t>
  </si>
  <si>
    <t>Доля взрослых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период.</t>
  </si>
  <si>
    <t xml:space="preserve">Доля взрослых с болезнями системы кровообращения, в отношении которых установлено диспансерное наблюдение 
за период, от общего числа взрослых пациентов с впервые в жизни установленным диагнозом болезни системы кровообращения за период. </t>
  </si>
  <si>
    <t xml:space="preserve"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 </t>
  </si>
  <si>
    <t>Охват вакцинацией детей в рамках Национального календаря прививок.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</si>
  <si>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</si>
  <si>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</si>
  <si>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</si>
  <si>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</si>
  <si>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</si>
  <si>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</si>
  <si>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вакцинированных от новой  коронавирусной инфекции (COVID-19), за период, от числа женщин, состоящих на учете по беременности и родам на начало периода.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</si>
  <si>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 новообразование шейки матки за период.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</si>
  <si>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</si>
  <si>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</si>
  <si>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>Правила заполнения столбцов.</t>
  </si>
  <si>
    <t>х</t>
  </si>
  <si>
    <t>Соответствие МО категории "минимально/максимально возможное значение" по соответствующему показателю</t>
  </si>
  <si>
    <t>Соответствие МО категории "выше/ниже среднего" по соответствующему показателю</t>
  </si>
  <si>
    <t>Балл</t>
  </si>
  <si>
    <t xml:space="preserve">Факт применения показателя для МО </t>
  </si>
  <si>
    <r>
      <rPr>
        <b/>
        <sz val="9"/>
        <color theme="1"/>
        <rFont val="Calibri"/>
        <family val="2"/>
        <scheme val="minor"/>
      </rPr>
      <t>Значение в числителе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</si>
  <si>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Значение в знаменателе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</si>
  <si>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Фактически достигнутое значение</t>
    </r>
    <r>
      <rPr>
        <sz val="9"/>
        <color theme="1"/>
        <rFont val="Calibri"/>
        <family val="2"/>
        <scheme val="minor"/>
      </rPr>
      <t xml:space="preserve"> показателя 
за анализируемый период, доля</t>
    </r>
  </si>
  <si>
    <r>
      <rPr>
        <b/>
        <sz val="9"/>
        <color theme="1"/>
        <rFont val="Calibri"/>
        <family val="2"/>
        <scheme val="minor"/>
      </rPr>
      <t>Целевое значение</t>
    </r>
    <r>
      <rPr>
        <sz val="9"/>
        <color theme="1"/>
        <rFont val="Calibri"/>
        <family val="2"/>
        <scheme val="minor"/>
      </rPr>
      <t xml:space="preserve"> показателя 
на анализируемый период 
(план)</t>
    </r>
  </si>
  <si>
    <r>
      <t xml:space="preserve">* Комментарии по заполнению формы:
</t>
    </r>
    <r>
      <rPr>
        <sz val="9"/>
        <color theme="1"/>
        <rFont val="Calibri"/>
        <family val="2"/>
        <charset val="204"/>
        <scheme val="minor"/>
      </rPr>
      <t>- достижение показателя результативности оценивается в соответствии с сопоставимым периодом годом ранее;</t>
    </r>
    <r>
      <rPr>
        <sz val="9"/>
        <color theme="1"/>
        <rFont val="Calibri"/>
        <family val="2"/>
        <scheme val="minor"/>
      </rPr>
      <t xml:space="preserve">
- в субъекте РФ могут быть выделены дополнительные показатели результативности для медицинских организаций, оказывающих медицинскую помощь по профилю "Стоматология", которые отражаются в таблице под номерами</t>
    </r>
    <r>
      <rPr>
        <sz val="9"/>
        <color theme="1"/>
        <rFont val="Calibri"/>
        <family val="2"/>
        <charset val="204"/>
        <scheme val="minor"/>
      </rPr>
      <t xml:space="preserve"> 26 и выше</t>
    </r>
    <r>
      <rPr>
        <sz val="9"/>
        <color theme="1"/>
        <rFont val="Calibri"/>
        <family val="2"/>
        <scheme val="minor"/>
      </rPr>
      <t>. Добавление иных показателей в форму не допускается.</t>
    </r>
  </si>
  <si>
    <t>** В целях единообразия и сопоставимости представления данных для всех значение в столбце "Фактически достигнутое значение показателя" указывается в формате доли (не 90, а 0,9).</t>
  </si>
  <si>
    <t>*** Блок 4 заполняется только в том случае, если в субъекте РФ выделены подушевые нормативы финансирования на прикрепившихся лиц по профилю «Стоматология» для оплаты первичной (первичной специализированной) медико-санитарной помощи по соответствующему профилю.</t>
  </si>
  <si>
    <t>Наименование показателя результативности по профилю "Стоматология"</t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</si>
  <si>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Calibri"/>
        <family val="2"/>
        <charset val="204"/>
        <scheme val="minor"/>
      </rPr>
      <t>Обязательно для заполнения всегда</t>
    </r>
  </si>
  <si>
    <t>Прирост (уменьшение), %</t>
  </si>
  <si>
    <t>Доля выполнение плана</t>
  </si>
  <si>
    <t>1- в случае соответствия МО указанному критерию начисления баллов
0 - в случае несоответствия (или неприменения показателя)</t>
  </si>
  <si>
    <t>Итоговый балл, присвоенный МО по показателю за предыдущий период
Заполнение обязательно при условии значения "1" в столбце "Факт применения показателя"
Значение от 0 до 2 включительно.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</si>
  <si>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3" / "графа 4")</t>
    </r>
  </si>
  <si>
    <t>Заполнение обязательно при условии значения "1" в столбце "Факт применения показателя" (гр. 12)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</si>
  <si>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14"/"графа 15")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</si>
  <si>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 / "графа 6" )</t>
    </r>
  </si>
  <si>
    <t>Итоговый балл, присваиваемый МО по показателю
Заполнение обязательно при условии значения "1" в столбце "Факт применения показателя" (гр. 12)
Значение от 0 до 2 включительно.</t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</si>
  <si>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5"/"графа 16" * 100 - 100)</t>
    </r>
  </si>
  <si>
    <t>Текущий период</t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</si>
  <si>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Calibri"/>
        <family val="2"/>
        <charset val="204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</si>
  <si>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t>Наименование показателя результативности 
в соответствии с приказом МЗ РФ
от 10.02.2023 № 44н</t>
  </si>
  <si>
    <t xml:space="preserve">Номер 
показателя резуль-тативности 
</t>
  </si>
  <si>
    <t>Блок 1 "Взрослое население (в возрасте 18 лет и старше)"</t>
  </si>
  <si>
    <t>Блок 2 "Детское население (от 0 до 17 лет включительно)"</t>
  </si>
  <si>
    <t>Блок 3 "Оказание акушерско-гинекологической помощи"</t>
  </si>
  <si>
    <t>Блок 4 "Стоматология" (не обязательно для заполнения)</t>
  </si>
  <si>
    <t>Сведения об использовании показателей результативности деятельности медицинских организаций за декабрь-апрель  (выбранный период)*</t>
  </si>
  <si>
    <t>ПРИЛОЖЕНИЕ № 2</t>
  </si>
  <si>
    <t xml:space="preserve">Ранжирование медицинских организаций по итогам проведения Мониторинга достижения значений показателей результативности деятельности </t>
  </si>
  <si>
    <t>группы</t>
  </si>
  <si>
    <t>критерий отбора</t>
  </si>
  <si>
    <t>Наименование МО</t>
  </si>
  <si>
    <t>Процент фактического выполнения показателей</t>
  </si>
  <si>
    <t>I*</t>
  </si>
  <si>
    <t>ГБУЗ "Магаданская областная больница"</t>
  </si>
  <si>
    <t xml:space="preserve">МОГБУЗ "Городская поликлиника" </t>
  </si>
  <si>
    <t>II</t>
  </si>
  <si>
    <t>III</t>
  </si>
  <si>
    <t>-</t>
  </si>
  <si>
    <t>1.2. по подушевому нормативу финансирования на прикрепившихся лиц по профилю "Акушерство и гинекология"</t>
  </si>
  <si>
    <t>выполнившие до 40 процентов показателей</t>
  </si>
  <si>
    <t>от 40 (включительно) до 60 процентов показателей</t>
  </si>
  <si>
    <t>от 60 (включительно)</t>
  </si>
  <si>
    <r>
      <t xml:space="preserve"> *общий объем средств, направляемых на оплату медицинской помощи 
с учетом показателей результативности деятельности в медицинскую организацию III группы за j-тый период определяется путем суммирования 
1 и 2 частей, а </t>
    </r>
    <r>
      <rPr>
        <b/>
        <i/>
        <sz val="13"/>
        <rFont val="Times New Roman"/>
        <family val="1"/>
        <charset val="204"/>
      </rPr>
      <t xml:space="preserve">для медицинских организаций I группы за j-тый период  – </t>
    </r>
    <r>
      <rPr>
        <b/>
        <i/>
        <u/>
        <sz val="13"/>
        <rFont val="Times New Roman"/>
        <family val="1"/>
        <charset val="204"/>
      </rPr>
      <t xml:space="preserve"> равняется нулю</t>
    </r>
    <r>
      <rPr>
        <i/>
        <u/>
        <sz val="13"/>
        <rFont val="Times New Roman"/>
        <family val="1"/>
        <charset val="204"/>
      </rPr>
      <t>.</t>
    </r>
  </si>
  <si>
    <t>1.1. по подушевому нормативу финансирования на прикрепившихся лиц за исключением профилей "Акушерство и гинекология" и "Стоматология"</t>
  </si>
  <si>
    <t>к Решению Комиссии по разработке ТПОМС</t>
  </si>
  <si>
    <t>ПРИЛОЖЕНИЕ № 1</t>
  </si>
  <si>
    <t>Таблица 1.3.</t>
  </si>
  <si>
    <t>Таблица 1.2.</t>
  </si>
  <si>
    <t>Таблица 1.1.</t>
  </si>
  <si>
    <t>ГБУЗ "Магаданский областной центр охраны материнства и детства"</t>
  </si>
  <si>
    <t>ПРИЛОЖЕНИЕ № 3</t>
  </si>
  <si>
    <t>Объем средств, направляемый в медицинские организации по итогам оценки достижения значений показателей результативности деятельности</t>
  </si>
  <si>
    <t>– распределение 70 процентов*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</si>
  <si>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 и III групп с учетом численности прикрепленного населения.</t>
  </si>
  <si>
    <t>рублей</t>
  </si>
  <si>
    <t>численность прикрепленного населения в j-м периоде ко всем медицинским организациям II и III групп.</t>
  </si>
  <si>
    <t>человек</t>
  </si>
  <si>
    <t>где:</t>
  </si>
  <si>
    <t>в том числе:</t>
  </si>
  <si>
    <t>1.) для Магаданского филиала АО «Страховая компания «СОГАЗ-Мед»:</t>
  </si>
  <si>
    <r>
      <rPr>
        <sz val="20"/>
        <rFont val="Times New Roman"/>
        <family val="1"/>
        <charset val="204"/>
      </rPr>
      <t>Числ</t>
    </r>
    <r>
      <rPr>
        <sz val="11"/>
        <rFont val="Times New Roman"/>
        <family val="1"/>
        <charset val="204"/>
      </rPr>
      <t>(смо)</t>
    </r>
    <r>
      <rPr>
        <sz val="8"/>
        <rFont val="Times New Roman"/>
        <family val="1"/>
        <charset val="204"/>
      </rPr>
      <t>i</t>
    </r>
  </si>
  <si>
    <r>
      <rPr>
        <sz val="20"/>
        <rFont val="Times New Roman"/>
        <family val="1"/>
        <charset val="204"/>
      </rPr>
      <t>ОС</t>
    </r>
    <r>
      <rPr>
        <sz val="11"/>
        <rFont val="Times New Roman"/>
        <family val="1"/>
        <charset val="204"/>
      </rPr>
      <t>РД</t>
    </r>
    <r>
      <rPr>
        <sz val="10"/>
        <rFont val="Times New Roman"/>
        <family val="1"/>
        <charset val="204"/>
      </rPr>
      <t>(нас)</t>
    </r>
    <r>
      <rPr>
        <sz val="11"/>
        <rFont val="Times New Roman"/>
        <family val="1"/>
        <charset val="204"/>
      </rPr>
      <t>смо</t>
    </r>
    <r>
      <rPr>
        <sz val="8"/>
        <rFont val="Times New Roman"/>
        <family val="1"/>
        <charset val="204"/>
      </rPr>
      <t>i</t>
    </r>
  </si>
  <si>
    <t xml:space="preserve"> - объем средств, направляемый в ГБУЗ "Магаданская областная больница" (II группа) Магаданским филиалом АО «Страховая компания «СОГАЗ-Мед»</t>
  </si>
  <si>
    <t>– распределение 30 процентов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</si>
  <si>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III группы с учетом численности прикрепленного населения.</t>
  </si>
  <si>
    <t>∑Балл</t>
  </si>
  <si>
    <t>количество   баллов, набранных   в   j-м   периоде   всеми медицинскими организациями III группы.</t>
  </si>
  <si>
    <t>объем средств, используемый при распределении 30 процентов от объема средств на стимулирование медицинских организаций за j-ый период, в расчете на 1 балл, рублей;</t>
  </si>
  <si>
    <t>Объем средств, направляемый в i-ю медицинскую организацию 
III группы за j-тый период, при распределении 30 процентов от объема средств на стимулирование медицинских организаций, рассчитывается следующим образом:</t>
  </si>
  <si>
    <t>количество баллов, набранных в j-м периоде i-той медицинской организацией III группы.</t>
  </si>
  <si>
    <t xml:space="preserve"> * Если по итогам года отсутствуют медицинские организации, включенные в III группу, средства, предназначенные для осуществления стимулирующих выплат медицинским организациям III группы, распределяются между медицинскими организациями II группы в соответствии с установленной методикой (с учетом численности прикрепленного населения).</t>
  </si>
  <si>
    <t>1.2. По подушевому нормативу финансирования на прикрепившихся лиц по профилю "Акушерство и гинекология"</t>
  </si>
  <si>
    <t>1.3. по подушевому нормативу финансирования на прикрепившихся лиц по профилю "Стоматология"</t>
  </si>
  <si>
    <t>1.3. По подушевому нормативу финансирования на прикрепившихся лиц по профилю "Стоматология"</t>
  </si>
  <si>
    <t xml:space="preserve"> - численность прикрепленного населения за 12 месяцев.</t>
  </si>
  <si>
    <t>совокупный объем средств на стимулирование медицинских организаций за 12 месяцев, рублей</t>
  </si>
  <si>
    <t>с 01.01</t>
  </si>
  <si>
    <r>
      <t xml:space="preserve"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рублей* </t>
    </r>
    <r>
      <rPr>
        <sz val="12"/>
        <rFont val="Times New Roman"/>
        <family val="1"/>
        <charset val="204"/>
      </rPr>
      <t>;</t>
    </r>
  </si>
  <si>
    <t xml:space="preserve"> - объем средств, направляемый в медицинские организации II и III группы</t>
  </si>
  <si>
    <t>с 01.05</t>
  </si>
  <si>
    <t>с 01.06</t>
  </si>
  <si>
    <t>с 01.07</t>
  </si>
  <si>
    <t>с 01.08</t>
  </si>
  <si>
    <t>с 01.11</t>
  </si>
  <si>
    <r>
      <t>1.1.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"МАГАДАНСКАЯ ОБЛАСТНАЯ БОЛЬНИЦА"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</si>
  <si>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</si>
  <si>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1.3.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</si>
  <si>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>I. По подушевому нормативу финансирования на прикрепившихся лиц за исключением профилей "Акушерство и гинекология" и "Стоматология"</t>
  </si>
  <si>
    <r>
      <t xml:space="preserve">1.  </t>
    </r>
    <r>
      <rPr>
        <b/>
        <u/>
        <sz val="16"/>
        <color rgb="FF0000FF"/>
        <rFont val="Times New Roman"/>
        <family val="1"/>
        <charset val="204"/>
      </rPr>
      <t>1 часть</t>
    </r>
  </si>
  <si>
    <r>
      <t xml:space="preserve">2.  </t>
    </r>
    <r>
      <rPr>
        <b/>
        <u/>
        <sz val="16"/>
        <color rgb="FF0000FF"/>
        <rFont val="Times New Roman"/>
        <family val="1"/>
        <charset val="204"/>
      </rPr>
      <t>2 часть</t>
    </r>
  </si>
  <si>
    <t>ПНФ за исключением профилей "Акушерство и гинекология" и "Стоматология"</t>
  </si>
  <si>
    <t>ВСЕГО</t>
  </si>
  <si>
    <t>для Магаданского филиала АО «Страховая компания «СОГАЗ-Мед»</t>
  </si>
  <si>
    <t>2.) для филиала АО "СМК "Сахамедстрах" в г. Магадане Магаданской области</t>
  </si>
  <si>
    <t>для филиала АО "СМК "Сахамедстрах" в г. Магадане Магаданской области</t>
  </si>
  <si>
    <t>МОГБУЗ "Городская поликлиника"</t>
  </si>
  <si>
    <t>1.СВОД</t>
  </si>
  <si>
    <t>1.2. медицинские организации III группы</t>
  </si>
  <si>
    <t>ИТОГО:</t>
  </si>
  <si>
    <t>АНАЛИЗ</t>
  </si>
  <si>
    <t>** при выполнении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 к объему стимулирующих выплат применяется понижающий коэфициент - 0,95.</t>
  </si>
  <si>
    <t>показатели смертности прикрепленного населения*</t>
  </si>
  <si>
    <t>1.  По подушевому нормативу финансирования на прикрепившихся лиц за исключением профилей "Акушерство и гинекология" и "Стоматология"</t>
  </si>
  <si>
    <t>*  в случае отсутствия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применяется понижающий коэфициент - 0,95.</t>
  </si>
  <si>
    <t>Применение понижающего коэффициента</t>
  </si>
  <si>
    <t>План</t>
  </si>
  <si>
    <t>Факт</t>
  </si>
  <si>
    <t>30-69 лет</t>
  </si>
  <si>
    <t>0-17</t>
  </si>
  <si>
    <t>декабрь 2022 года -ноябрь 2023 года (%)</t>
  </si>
  <si>
    <t>динамика 
(стр.3/стр.2)</t>
  </si>
  <si>
    <t>Выполнение
(стр.3/стр.2)</t>
  </si>
  <si>
    <t>баллов</t>
  </si>
  <si>
    <r>
      <t xml:space="preserve"> Объем средств, направляемый в медицинские организации по итогам оценки достижения значений показателей результативности деятельности (ОС</t>
    </r>
    <r>
      <rPr>
        <b/>
        <sz val="10"/>
        <color rgb="FF0000FF"/>
        <rFont val="Times New Roman"/>
        <family val="1"/>
        <charset val="204"/>
      </rPr>
      <t>РД</t>
    </r>
    <r>
      <rPr>
        <b/>
        <sz val="16"/>
        <color rgb="FF0000FF"/>
        <rFont val="Times New Roman"/>
        <family val="1"/>
        <charset val="204"/>
      </rPr>
      <t>)</t>
    </r>
  </si>
  <si>
    <t>2.1. В III группу по результатам ранжирования включена одна медицинская организация ГБУЗ "Магаданский областной центр охраны материнства и детства" в связи с чем все средства приходятся на данную медицинскую организацию</t>
  </si>
  <si>
    <t xml:space="preserve"> - объем средств, направляемый в медицинские организации III группы</t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</si>
  <si>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>РД(балл/нас)i</t>
    </r>
  </si>
  <si>
    <r>
      <rPr>
        <b/>
        <sz val="18"/>
        <rFont val="Times New Roman"/>
        <family val="1"/>
        <charset val="204"/>
      </rPr>
      <t>Ч</t>
    </r>
    <r>
      <rPr>
        <b/>
        <sz val="11"/>
        <rFont val="Times New Roman"/>
        <family val="1"/>
        <charset val="204"/>
      </rPr>
      <t>ислi</t>
    </r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</si>
  <si>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</si>
  <si>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 xml:space="preserve">РД(балл/нас)i =  </t>
    </r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 xml:space="preserve">РД(балл) / </t>
    </r>
    <r>
      <rPr>
        <b/>
        <sz val="18"/>
        <rFont val="Times New Roman"/>
        <family val="1"/>
        <charset val="204"/>
      </rPr>
      <t>Ч</t>
    </r>
    <r>
      <rPr>
        <b/>
        <sz val="11"/>
        <rFont val="Times New Roman"/>
        <family val="1"/>
        <charset val="204"/>
      </rPr>
      <t>ислi,</t>
    </r>
  </si>
  <si>
    <t xml:space="preserve"> - объем средств, направляемый в медицинские организации II и III группы, при распределении 70 процентов </t>
  </si>
  <si>
    <t xml:space="preserve"> - численность прикрепленного населения в i-м периоде к МОГБУЗ "Городская поликлиника"  застрахованных в филиале АО "ГСМК "Сахамедстрах" в г. Магадане Магаданской области</t>
  </si>
  <si>
    <t xml:space="preserve"> - численность прикрепленного населения в i-м периоде к МОГБУЗ "Городская поликлиника" застрахованных в Магаданском филиале АО «Страховая компания «СОГАЗ-Мед»</t>
  </si>
  <si>
    <t xml:space="preserve"> - объем средств, направляемый в МОГБУЗ "Городская поликлиника" (II группа) Магаданским филиалом АО «Страховая компания «СОГАЗ-Мед»</t>
  </si>
  <si>
    <t xml:space="preserve"> - объем средств, направляемый в МОГБУЗ "Городская поликлиника" (II группа) филиалом АО "ГСМК "Сахамедстрах" в г. Магадане Магаданской области</t>
  </si>
  <si>
    <t xml:space="preserve"> - численность прикрепленного населения в i-м периоде к ГБУЗ "Магаданский областной центр охраны материнства и детства" застрахованных в Магаданском филиале АО «Страховая компания «СОГАЗ-Мед»</t>
  </si>
  <si>
    <t xml:space="preserve"> - численность прикрепленного населения в i-м периоде к ГБУЗ "Магаданский областной центр охраны материнства и детства" 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</si>
  <si>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"Магаданский областной центр охраны материнства и детства"  (III группа) филиалом АО "ГСМК "Сахамедстрах" в г. Магадане Магаданской области</t>
  </si>
  <si>
    <t xml:space="preserve"> - объем средств, направляемый в ГБУЗ "Магаданский областной центр охраны материнства и детства" (III группа) Магаданским филиалом АО «Страховая компания «СОГАЗ-Мед»</t>
  </si>
  <si>
    <t xml:space="preserve"> - численность прикрепленного населения в i-м периоде к ГБУЗ "Магаданская областная больница"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</si>
  <si>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"Магаданская областная больница" (II группа) филиалом АО "ГСМК "Сахамедстрах" в г. Магадане Магаданской области</t>
  </si>
  <si>
    <t xml:space="preserve"> - численность прикрепленного населения в i-м периоде к ГБУЗ "Магаданская областная больница" застрахованных в Магаданском филиале АО «Страховая компания «СОГАЗ-Мед»</t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</si>
  <si>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>РД(балл)i</t>
    </r>
  </si>
  <si>
    <t>объем средств, используемый при распределении 
30 процентов от объема средств на стимулирование медицинских организаций за j-ый период, в расчете на 1 прикрепленное лицо, рублей* ;</t>
  </si>
  <si>
    <t>Наименование медицинской организации</t>
  </si>
  <si>
    <t>критерий выполнения не менее 90 процентов от объемов, установленных решением Комиссии объемов**</t>
  </si>
  <si>
    <t>ПРИЛОЖЕНИЕ № 5</t>
  </si>
  <si>
    <t>с 01.02</t>
  </si>
  <si>
    <t>с 01.03</t>
  </si>
  <si>
    <t>с 01.04</t>
  </si>
  <si>
    <t>с 01.09</t>
  </si>
  <si>
    <t>с 01.10</t>
  </si>
  <si>
    <t>с 01.12</t>
  </si>
  <si>
    <t>2.1. В III группу по результатам ранжирования включена одна медицинская организация МОГБУЗ "Городская поликлиника" в связи с чем все средства приходятся на данную медицинскую организацию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</si>
  <si>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</si>
  <si>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 xml:space="preserve">      Согласно Методики оценки критериев показателей результативности осуществление выплат стимулирующего характера медицинской организации, оказывающей медицинскую помощь в амбулаторных условиях, по результатам оценки ее деятельности, следует производить в полном объеме при условии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(далее – показатели смертности прикрепленного населения (взрослого и детского), а также фактического выполнения не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соответственно).</t>
  </si>
  <si>
    <t>Расчет</t>
  </si>
  <si>
    <t>дополнительных критериев, применяемых при оценке достижения значений показателей результативности деятельности</t>
  </si>
  <si>
    <t>объема средств, направляемого в медицинские организации по итогам оценки достижения значений показателей результативности деятельности</t>
  </si>
  <si>
    <r>
      <rPr>
        <b/>
        <sz val="9"/>
        <rFont val="Times New Roman"/>
        <family val="1"/>
        <charset val="204"/>
      </rPr>
      <t>Значение в числителе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</si>
  <si>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Значение в знаменателе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</si>
  <si>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Фактически достигнутое значение</t>
    </r>
    <r>
      <rPr>
        <sz val="9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</si>
  <si>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rFont val="Times New Roman"/>
        <family val="1"/>
        <charset val="204"/>
      </rPr>
      <t>Целевое значение</t>
    </r>
    <r>
      <rPr>
        <sz val="9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</si>
  <si>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</si>
  <si>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</si>
  <si>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</si>
  <si>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</si>
  <si>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</si>
  <si>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14"/"графа 15")</t>
    </r>
  </si>
  <si>
    <r>
      <rPr>
        <b/>
        <sz val="9"/>
        <color theme="1"/>
        <rFont val="Times New Roman"/>
        <family val="1"/>
        <charset val="204"/>
      </rPr>
      <t>Значение в числителе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</si>
  <si>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Значение в знаменателе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</si>
  <si>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Фактически достигнутое значение</t>
    </r>
    <r>
      <rPr>
        <sz val="9"/>
        <color theme="1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</si>
  <si>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color theme="1"/>
        <rFont val="Times New Roman"/>
        <family val="1"/>
        <charset val="204"/>
      </rPr>
      <t>Целевое значение</t>
    </r>
    <r>
      <rPr>
        <sz val="9"/>
        <color theme="1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</si>
  <si>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</si>
  <si>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</si>
  <si>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</si>
  <si>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</si>
  <si>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</si>
  <si>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14"/"графа 15")</t>
    </r>
  </si>
  <si>
    <t>ГБУЗ "Магаданская областная больница" (все районы без г. Магадана)</t>
  </si>
  <si>
    <t>ГБУЗ "Магаданский областной центр охраны материнства и детства" (дети г. Магадана)</t>
  </si>
  <si>
    <t>МОГБУЗ "Городская поликлиника" (взрослые г. Магадан)</t>
  </si>
  <si>
    <t>Итоговый размер понижающего коэффициента, применяемый в расчете объема стим. выплат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</si>
  <si>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(до корректировки с учетом понижающих коэффициентов) ;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</si>
  <si>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(с учетом понижающих коэффициентов) ;</t>
  </si>
  <si>
    <t>2. Так как в II и III уровень по подушевым нормативам по профилям "Акушерство и гинкология" и "Стоматология" попали по одной медицинской организации, к ним при оценке достижения значений показателей результативности деятельности дополнительные критерии не применяются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</si>
  <si>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</si>
  <si>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 xml:space="preserve"> - объем средств, направляемый в МОГБУЗ "Городская поликлиника" (III группа) Магаданским филиалом АО «Страховая компания «СОГАЗ-Мед»</t>
  </si>
  <si>
    <t xml:space="preserve"> - объем средств, направляемый в МОГБУЗ "Городская поликлиника"  (III группа) филиалом АО "ГСМК "Сахамедстрах" в г. Магадане Магаданской области</t>
  </si>
  <si>
    <t>1.1. медицинские организации II и III группы</t>
  </si>
  <si>
    <t>за 1 квартал месяцев (декабрь 2023 года-февраль 2024 года)</t>
  </si>
  <si>
    <t>декабрь 2023 года -ноябрь 2024 года (%)</t>
  </si>
  <si>
    <t>за 2024 год</t>
  </si>
  <si>
    <t xml:space="preserve">Мониторинг достижения значений показателей результативности деятельности за декабрь 2023 –  май 2024 года </t>
  </si>
  <si>
    <t>Х</t>
  </si>
  <si>
    <t>№ 10-01 от 25.06.2024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</si>
</sst>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0000000"/>
    <numFmt numFmtId="165" formatCode="#,##0.000000000"/>
    <numFmt numFmtId="166" formatCode="0.0%"/>
    <numFmt numFmtId="167" formatCode="0.0"/>
    <numFmt numFmtId="168" formatCode="0.0000"/>
    <numFmt numFmtId="169" formatCode="#,##0.0000"/>
    <numFmt numFmtId="170" formatCode="#,##0.000000"/>
    <numFmt numFmtId="171" formatCode="#,##0.00000"/>
    <numFmt numFmtId="172" formatCode="0.0000000"/>
    <numFmt numFmtId="173" formatCode="0.00000000"/>
  </numFmts>
  <fonts count="9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rgb="FF00B0F0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00B0F0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00FF"/>
      <name val="Calibri"/>
      <family val="2"/>
      <charset val="204"/>
      <scheme val="minor"/>
    </font>
    <font>
      <b/>
      <sz val="9"/>
      <color rgb="FF0000FF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i/>
      <u/>
      <sz val="13"/>
      <name val="Times New Roman"/>
      <family val="1"/>
      <charset val="204"/>
    </font>
    <font>
      <sz val="14"/>
      <color rgb="FF0000FF"/>
      <name val="Calibri"/>
      <family val="2"/>
      <scheme val="minor"/>
    </font>
    <font>
      <b/>
      <sz val="13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20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u/>
      <sz val="16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00B0F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sz val="11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8"/>
      <color theme="0"/>
      <name val="Times New Roman"/>
      <family val="1"/>
      <charset val="204"/>
    </font>
    <font>
      <b/>
      <sz val="20"/>
      <color theme="0"/>
      <name val="Times New Roman"/>
      <family val="1"/>
      <charset val="204"/>
    </font>
    <font>
      <b/>
      <sz val="22"/>
      <color theme="0"/>
      <name val="Times New Roman"/>
      <family val="1"/>
      <charset val="204"/>
    </font>
    <font>
      <b/>
      <sz val="11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22" fillId="0" borderId="0"/>
  </cellStyleXfs>
  <cellXfs count="47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0" fontId="5" fillId="2" borderId="2" xfId="0" applyFont="1" applyFill="1" applyBorder="1"/>
    <xf numFmtId="0" fontId="11" fillId="2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/>
    <xf numFmtId="0" fontId="5" fillId="0" borderId="9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top" wrapText="1"/>
    </xf>
    <xf numFmtId="0" fontId="0" fillId="5" borderId="0" xfId="0" applyFill="1"/>
    <xf numFmtId="0" fontId="10" fillId="5" borderId="1" xfId="0" applyFont="1" applyFill="1" applyBorder="1" applyAlignment="1">
      <alignment horizontal="justify" vertical="top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top" wrapText="1"/>
    </xf>
    <xf numFmtId="2" fontId="5" fillId="6" borderId="1" xfId="0" applyNumberFormat="1" applyFont="1" applyFill="1" applyBorder="1" applyAlignment="1">
      <alignment horizontal="center" vertical="center"/>
    </xf>
    <xf numFmtId="0" fontId="0" fillId="6" borderId="0" xfId="0" applyFill="1"/>
    <xf numFmtId="164" fontId="5" fillId="0" borderId="1" xfId="0" applyNumberFormat="1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8" fillId="6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0" borderId="0" xfId="0" applyFont="1"/>
    <xf numFmtId="0" fontId="17" fillId="0" borderId="0" xfId="0" applyFont="1"/>
    <xf numFmtId="0" fontId="17" fillId="0" borderId="1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164" fontId="19" fillId="6" borderId="1" xfId="0" applyNumberFormat="1" applyFont="1" applyFill="1" applyBorder="1" applyAlignment="1">
      <alignment horizontal="center" vertical="center"/>
    </xf>
    <xf numFmtId="2" fontId="19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horizontal="center" vertical="center"/>
    </xf>
    <xf numFmtId="0" fontId="19" fillId="6" borderId="7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19" fillId="0" borderId="1" xfId="1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5" fontId="19" fillId="5" borderId="1" xfId="0" applyNumberFormat="1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165" fontId="19" fillId="6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3" fillId="0" borderId="0" xfId="2" applyFont="1"/>
    <xf numFmtId="0" fontId="24" fillId="0" borderId="0" xfId="2" applyFont="1" applyAlignment="1">
      <alignment horizontal="right"/>
    </xf>
    <xf numFmtId="0" fontId="24" fillId="0" borderId="0" xfId="2" applyFont="1" applyAlignment="1">
      <alignment horizontal="center"/>
    </xf>
    <xf numFmtId="0" fontId="24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vertical="center" wrapText="1"/>
    </xf>
    <xf numFmtId="166" fontId="23" fillId="0" borderId="1" xfId="2" applyNumberFormat="1" applyFont="1" applyBorder="1"/>
    <xf numFmtId="0" fontId="24" fillId="0" borderId="1" xfId="2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/>
    </xf>
    <xf numFmtId="0" fontId="29" fillId="6" borderId="16" xfId="0" applyFont="1" applyFill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0" fontId="23" fillId="0" borderId="0" xfId="2" applyFont="1" applyAlignment="1">
      <alignment horizontal="right"/>
    </xf>
    <xf numFmtId="0" fontId="31" fillId="0" borderId="0" xfId="0" applyFont="1" applyAlignment="1">
      <alignment horizontal="right"/>
    </xf>
    <xf numFmtId="0" fontId="33" fillId="0" borderId="1" xfId="0" applyFont="1" applyBorder="1" applyAlignment="1">
      <alignment horizontal="justify" vertical="top" wrapText="1"/>
    </xf>
    <xf numFmtId="0" fontId="33" fillId="5" borderId="1" xfId="0" applyFont="1" applyFill="1" applyBorder="1" applyAlignment="1">
      <alignment horizontal="justify" vertical="top" wrapText="1"/>
    </xf>
    <xf numFmtId="0" fontId="34" fillId="0" borderId="0" xfId="0" applyFont="1" applyAlignment="1">
      <alignment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7" fillId="6" borderId="1" xfId="0" applyFont="1" applyFill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7" fillId="5" borderId="1" xfId="0" applyFont="1" applyFill="1" applyBorder="1" applyAlignment="1">
      <alignment vertical="top" wrapText="1"/>
    </xf>
    <xf numFmtId="0" fontId="38" fillId="2" borderId="2" xfId="0" applyFont="1" applyFill="1" applyBorder="1" applyAlignment="1">
      <alignment horizontal="center" vertical="top" wrapText="1"/>
    </xf>
    <xf numFmtId="0" fontId="38" fillId="3" borderId="2" xfId="0" applyFont="1" applyFill="1" applyBorder="1" applyAlignment="1">
      <alignment horizontal="center" vertical="top" wrapText="1"/>
    </xf>
    <xf numFmtId="0" fontId="39" fillId="0" borderId="1" xfId="0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24" fillId="4" borderId="0" xfId="2" applyFont="1" applyFill="1" applyAlignment="1">
      <alignment horizontal="right"/>
    </xf>
    <xf numFmtId="0" fontId="23" fillId="4" borderId="0" xfId="2" applyFont="1" applyFill="1" applyAlignment="1">
      <alignment horizontal="right"/>
    </xf>
    <xf numFmtId="0" fontId="40" fillId="4" borderId="0" xfId="0" applyFont="1" applyFill="1"/>
    <xf numFmtId="0" fontId="24" fillId="0" borderId="1" xfId="2" applyFont="1" applyBorder="1" applyAlignment="1">
      <alignment horizontal="center" vertical="center" wrapText="1"/>
    </xf>
    <xf numFmtId="0" fontId="41" fillId="0" borderId="0" xfId="2" applyFont="1"/>
    <xf numFmtId="0" fontId="23" fillId="0" borderId="1" xfId="2" applyFont="1" applyBorder="1"/>
    <xf numFmtId="0" fontId="42" fillId="0" borderId="0" xfId="2" applyFont="1"/>
    <xf numFmtId="0" fontId="43" fillId="8" borderId="0" xfId="2" applyFont="1" applyFill="1" applyAlignment="1">
      <alignment horizontal="center" vertical="center" wrapText="1"/>
    </xf>
    <xf numFmtId="0" fontId="42" fillId="0" borderId="0" xfId="2" applyFont="1" applyAlignment="1">
      <alignment horizontal="center" wrapText="1"/>
    </xf>
    <xf numFmtId="0" fontId="22" fillId="0" borderId="0" xfId="2"/>
    <xf numFmtId="0" fontId="42" fillId="0" borderId="0" xfId="2" applyFont="1" applyAlignment="1">
      <alignment horizontal="center"/>
    </xf>
    <xf numFmtId="4" fontId="42" fillId="0" borderId="0" xfId="2" applyNumberFormat="1" applyFont="1"/>
    <xf numFmtId="4" fontId="46" fillId="0" borderId="0" xfId="2" applyNumberFormat="1" applyFont="1"/>
    <xf numFmtId="0" fontId="47" fillId="0" borderId="0" xfId="2" applyFont="1"/>
    <xf numFmtId="0" fontId="49" fillId="0" borderId="0" xfId="2" applyFont="1"/>
    <xf numFmtId="1" fontId="42" fillId="0" borderId="0" xfId="2" applyNumberFormat="1" applyFont="1"/>
    <xf numFmtId="0" fontId="48" fillId="0" borderId="0" xfId="2" applyFont="1"/>
    <xf numFmtId="0" fontId="40" fillId="0" borderId="0" xfId="2" applyFont="1"/>
    <xf numFmtId="0" fontId="50" fillId="8" borderId="0" xfId="2" applyFont="1" applyFill="1"/>
    <xf numFmtId="0" fontId="51" fillId="8" borderId="0" xfId="2" applyFont="1" applyFill="1"/>
    <xf numFmtId="0" fontId="51" fillId="0" borderId="0" xfId="2" applyFont="1"/>
    <xf numFmtId="1" fontId="51" fillId="0" borderId="0" xfId="2" applyNumberFormat="1" applyFont="1"/>
    <xf numFmtId="0" fontId="52" fillId="0" borderId="0" xfId="2" applyFont="1" applyAlignment="1">
      <alignment horizontal="center" vertical="center" wrapText="1"/>
    </xf>
    <xf numFmtId="0" fontId="55" fillId="0" borderId="0" xfId="2" applyFont="1"/>
    <xf numFmtId="0" fontId="52" fillId="0" borderId="0" xfId="2" applyFont="1" applyAlignment="1">
      <alignment vertical="center" wrapText="1"/>
    </xf>
    <xf numFmtId="0" fontId="22" fillId="0" borderId="0" xfId="2" applyFont="1"/>
    <xf numFmtId="0" fontId="42" fillId="0" borderId="0" xfId="2" applyFont="1" applyAlignment="1">
      <alignment horizontal="left" vertical="center" wrapText="1"/>
    </xf>
    <xf numFmtId="0" fontId="40" fillId="0" borderId="0" xfId="2" applyFont="1" applyAlignment="1">
      <alignment horizontal="center"/>
    </xf>
    <xf numFmtId="0" fontId="51" fillId="0" borderId="0" xfId="2" applyFont="1" applyAlignment="1">
      <alignment horizontal="center" wrapText="1"/>
    </xf>
    <xf numFmtId="0" fontId="51" fillId="0" borderId="0" xfId="2" applyFont="1" applyAlignment="1">
      <alignment horizontal="center"/>
    </xf>
    <xf numFmtId="4" fontId="46" fillId="8" borderId="0" xfId="2" applyNumberFormat="1" applyFont="1" applyFill="1"/>
    <xf numFmtId="0" fontId="42" fillId="8" borderId="0" xfId="2" applyFont="1" applyFill="1"/>
    <xf numFmtId="168" fontId="47" fillId="0" borderId="0" xfId="2" applyNumberFormat="1" applyFont="1"/>
    <xf numFmtId="4" fontId="57" fillId="0" borderId="0" xfId="2" applyNumberFormat="1" applyFont="1"/>
    <xf numFmtId="4" fontId="50" fillId="5" borderId="0" xfId="2" applyNumberFormat="1" applyFont="1" applyFill="1"/>
    <xf numFmtId="4" fontId="44" fillId="5" borderId="0" xfId="2" applyNumberFormat="1" applyFont="1" applyFill="1"/>
    <xf numFmtId="0" fontId="52" fillId="4" borderId="0" xfId="2" applyFont="1" applyFill="1" applyAlignment="1">
      <alignment vertical="center" wrapText="1"/>
    </xf>
    <xf numFmtId="0" fontId="42" fillId="4" borderId="0" xfId="2" applyFont="1" applyFill="1" applyAlignment="1">
      <alignment horizontal="left" vertical="center" wrapText="1"/>
    </xf>
    <xf numFmtId="4" fontId="50" fillId="4" borderId="0" xfId="2" applyNumberFormat="1" applyFont="1" applyFill="1"/>
    <xf numFmtId="0" fontId="42" fillId="4" borderId="0" xfId="2" applyFont="1" applyFill="1"/>
    <xf numFmtId="4" fontId="42" fillId="4" borderId="0" xfId="2" applyNumberFormat="1" applyFont="1" applyFill="1"/>
    <xf numFmtId="168" fontId="49" fillId="0" borderId="0" xfId="2" applyNumberFormat="1" applyFont="1"/>
    <xf numFmtId="169" fontId="57" fillId="0" borderId="0" xfId="2" applyNumberFormat="1" applyFont="1"/>
    <xf numFmtId="168" fontId="55" fillId="0" borderId="0" xfId="2" applyNumberFormat="1" applyFont="1"/>
    <xf numFmtId="0" fontId="34" fillId="0" borderId="0" xfId="0" applyFont="1"/>
    <xf numFmtId="0" fontId="61" fillId="0" borderId="0" xfId="0" applyFont="1" applyAlignment="1">
      <alignment vertical="center" wrapText="1"/>
    </xf>
    <xf numFmtId="0" fontId="61" fillId="0" borderId="1" xfId="0" applyFont="1" applyBorder="1" applyAlignment="1">
      <alignment vertical="center" wrapText="1"/>
    </xf>
    <xf numFmtId="0" fontId="61" fillId="0" borderId="1" xfId="0" applyFont="1" applyBorder="1" applyAlignment="1">
      <alignment horizontal="center" vertical="center" wrapText="1"/>
    </xf>
    <xf numFmtId="4" fontId="61" fillId="0" borderId="1" xfId="0" applyNumberFormat="1" applyFont="1" applyBorder="1" applyAlignment="1">
      <alignment vertical="center" wrapText="1"/>
    </xf>
    <xf numFmtId="4" fontId="61" fillId="0" borderId="0" xfId="0" applyNumberFormat="1" applyFont="1" applyAlignment="1">
      <alignment vertical="center" wrapText="1"/>
    </xf>
    <xf numFmtId="4" fontId="62" fillId="0" borderId="0" xfId="2" applyNumberFormat="1" applyFont="1"/>
    <xf numFmtId="0" fontId="62" fillId="0" borderId="0" xfId="2" applyFont="1"/>
    <xf numFmtId="168" fontId="62" fillId="0" borderId="0" xfId="2" applyNumberFormat="1" applyFont="1"/>
    <xf numFmtId="0" fontId="61" fillId="0" borderId="15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4" fillId="0" borderId="0" xfId="2" applyFont="1"/>
    <xf numFmtId="0" fontId="46" fillId="0" borderId="0" xfId="2" applyFont="1"/>
    <xf numFmtId="170" fontId="44" fillId="5" borderId="0" xfId="2" applyNumberFormat="1" applyFont="1" applyFill="1"/>
    <xf numFmtId="168" fontId="44" fillId="0" borderId="0" xfId="2" applyNumberFormat="1" applyFont="1"/>
    <xf numFmtId="0" fontId="31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61" fillId="0" borderId="0" xfId="0" applyFont="1" applyAlignment="1">
      <alignment horizontal="right" vertical="center" wrapText="1"/>
    </xf>
    <xf numFmtId="0" fontId="40" fillId="0" borderId="0" xfId="2" applyFont="1" applyAlignment="1">
      <alignment horizontal="right"/>
    </xf>
    <xf numFmtId="0" fontId="67" fillId="0" borderId="0" xfId="2" applyFont="1"/>
    <xf numFmtId="0" fontId="68" fillId="0" borderId="0" xfId="2" applyFont="1"/>
    <xf numFmtId="1" fontId="67" fillId="0" borderId="0" xfId="2" applyNumberFormat="1" applyFont="1"/>
    <xf numFmtId="1" fontId="67" fillId="0" borderId="0" xfId="2" applyNumberFormat="1" applyFont="1" applyAlignment="1">
      <alignment horizontal="center"/>
    </xf>
    <xf numFmtId="1" fontId="68" fillId="0" borderId="0" xfId="2" applyNumberFormat="1" applyFont="1"/>
    <xf numFmtId="4" fontId="31" fillId="0" borderId="0" xfId="0" applyNumberFormat="1" applyFont="1" applyAlignment="1">
      <alignment vertical="center" wrapText="1"/>
    </xf>
    <xf numFmtId="1" fontId="68" fillId="4" borderId="0" xfId="2" applyNumberFormat="1" applyFont="1" applyFill="1" applyAlignment="1">
      <alignment horizontal="center"/>
    </xf>
    <xf numFmtId="1" fontId="68" fillId="0" borderId="0" xfId="2" applyNumberFormat="1" applyFont="1" applyAlignment="1">
      <alignment horizontal="center"/>
    </xf>
    <xf numFmtId="0" fontId="67" fillId="0" borderId="0" xfId="2" applyFont="1" applyAlignment="1">
      <alignment horizontal="center"/>
    </xf>
    <xf numFmtId="0" fontId="68" fillId="0" borderId="0" xfId="2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1" xfId="0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/>
    </xf>
    <xf numFmtId="0" fontId="61" fillId="0" borderId="13" xfId="0" applyFont="1" applyBorder="1" applyAlignment="1">
      <alignment horizontal="left" vertical="center" wrapText="1"/>
    </xf>
    <xf numFmtId="0" fontId="42" fillId="0" borderId="0" xfId="2" applyFont="1" applyAlignment="1">
      <alignment horizontal="left" vertical="center" wrapText="1"/>
    </xf>
    <xf numFmtId="0" fontId="52" fillId="4" borderId="0" xfId="0" applyFont="1" applyFill="1" applyAlignment="1">
      <alignment vertical="center"/>
    </xf>
    <xf numFmtId="0" fontId="52" fillId="4" borderId="0" xfId="0" applyFont="1" applyFill="1" applyAlignment="1">
      <alignment wrapText="1"/>
    </xf>
    <xf numFmtId="0" fontId="52" fillId="4" borderId="0" xfId="0" applyFont="1" applyFill="1" applyAlignment="1">
      <alignment horizontal="center" vertical="center"/>
    </xf>
    <xf numFmtId="0" fontId="52" fillId="4" borderId="0" xfId="0" applyFont="1" applyFill="1"/>
    <xf numFmtId="0" fontId="64" fillId="4" borderId="0" xfId="0" applyFont="1" applyFill="1"/>
    <xf numFmtId="0" fontId="35" fillId="4" borderId="0" xfId="0" applyFont="1" applyFill="1" applyAlignment="1">
      <alignment vertical="center"/>
    </xf>
    <xf numFmtId="0" fontId="35" fillId="4" borderId="0" xfId="0" applyFont="1" applyFill="1"/>
    <xf numFmtId="0" fontId="35" fillId="4" borderId="9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72" fillId="4" borderId="1" xfId="0" applyFont="1" applyFill="1" applyBorder="1" applyAlignment="1">
      <alignment horizontal="center" vertical="center" wrapText="1"/>
    </xf>
    <xf numFmtId="0" fontId="35" fillId="4" borderId="7" xfId="0" applyFont="1" applyFill="1" applyBorder="1" applyAlignment="1">
      <alignment horizontal="center" vertical="center" wrapText="1"/>
    </xf>
    <xf numFmtId="0" fontId="35" fillId="4" borderId="6" xfId="0" applyFont="1" applyFill="1" applyBorder="1" applyAlignment="1">
      <alignment horizontal="center" vertical="center" wrapText="1"/>
    </xf>
    <xf numFmtId="0" fontId="64" fillId="4" borderId="1" xfId="0" applyFont="1" applyFill="1" applyBorder="1" applyAlignment="1">
      <alignment horizontal="center" vertical="center" wrapText="1"/>
    </xf>
    <xf numFmtId="0" fontId="64" fillId="4" borderId="6" xfId="0" applyFont="1" applyFill="1" applyBorder="1" applyAlignment="1">
      <alignment horizontal="center" vertical="center" wrapText="1"/>
    </xf>
    <xf numFmtId="0" fontId="39" fillId="6" borderId="1" xfId="0" applyFont="1" applyFill="1" applyBorder="1" applyAlignment="1">
      <alignment horizontal="center" vertical="center"/>
    </xf>
    <xf numFmtId="0" fontId="75" fillId="6" borderId="6" xfId="0" applyFont="1" applyFill="1" applyBorder="1" applyAlignment="1">
      <alignment horizontal="center" vertical="center"/>
    </xf>
    <xf numFmtId="0" fontId="75" fillId="6" borderId="1" xfId="0" applyFont="1" applyFill="1" applyBorder="1" applyAlignment="1">
      <alignment horizontal="center" vertical="center"/>
    </xf>
    <xf numFmtId="164" fontId="61" fillId="6" borderId="1" xfId="0" applyNumberFormat="1" applyFont="1" applyFill="1" applyBorder="1" applyAlignment="1">
      <alignment horizontal="center" vertical="center"/>
    </xf>
    <xf numFmtId="2" fontId="61" fillId="6" borderId="1" xfId="0" applyNumberFormat="1" applyFont="1" applyFill="1" applyBorder="1" applyAlignment="1">
      <alignment horizontal="center" vertical="center"/>
    </xf>
    <xf numFmtId="167" fontId="44" fillId="6" borderId="1" xfId="0" applyNumberFormat="1" applyFont="1" applyFill="1" applyBorder="1" applyAlignment="1">
      <alignment horizontal="center" vertical="center"/>
    </xf>
    <xf numFmtId="0" fontId="61" fillId="6" borderId="1" xfId="0" applyFont="1" applyFill="1" applyBorder="1" applyAlignment="1">
      <alignment horizontal="center" vertical="center"/>
    </xf>
    <xf numFmtId="0" fontId="61" fillId="6" borderId="7" xfId="0" applyFont="1" applyFill="1" applyBorder="1" applyAlignment="1">
      <alignment horizontal="center" vertical="center"/>
    </xf>
    <xf numFmtId="0" fontId="45" fillId="6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61" fillId="0" borderId="6" xfId="0" applyFont="1" applyBorder="1" applyAlignment="1">
      <alignment horizontal="center" vertical="center"/>
    </xf>
    <xf numFmtId="0" fontId="61" fillId="0" borderId="1" xfId="0" applyFont="1" applyBorder="1" applyAlignment="1">
      <alignment horizontal="center" vertical="center"/>
    </xf>
    <xf numFmtId="165" fontId="61" fillId="0" borderId="1" xfId="1" applyNumberFormat="1" applyFont="1" applyBorder="1" applyAlignment="1">
      <alignment horizontal="center" vertical="center"/>
    </xf>
    <xf numFmtId="2" fontId="61" fillId="0" borderId="1" xfId="0" applyNumberFormat="1" applyFont="1" applyBorder="1" applyAlignment="1">
      <alignment horizontal="center" vertical="center"/>
    </xf>
    <xf numFmtId="164" fontId="61" fillId="0" borderId="1" xfId="0" applyNumberFormat="1" applyFont="1" applyBorder="1" applyAlignment="1">
      <alignment horizontal="center" vertical="center"/>
    </xf>
    <xf numFmtId="167" fontId="45" fillId="0" borderId="1" xfId="0" applyNumberFormat="1" applyFont="1" applyBorder="1" applyAlignment="1">
      <alignment horizontal="center" vertical="center"/>
    </xf>
    <xf numFmtId="0" fontId="61" fillId="4" borderId="1" xfId="0" applyFont="1" applyFill="1" applyBorder="1" applyAlignment="1">
      <alignment horizontal="center" vertical="center"/>
    </xf>
    <xf numFmtId="0" fontId="61" fillId="0" borderId="7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165" fontId="61" fillId="4" borderId="1" xfId="0" applyNumberFormat="1" applyFont="1" applyFill="1" applyBorder="1" applyAlignment="1">
      <alignment horizontal="center" vertical="center"/>
    </xf>
    <xf numFmtId="0" fontId="45" fillId="4" borderId="1" xfId="0" applyFont="1" applyFill="1" applyBorder="1" applyAlignment="1">
      <alignment horizontal="center" vertical="center"/>
    </xf>
    <xf numFmtId="165" fontId="61" fillId="0" borderId="1" xfId="0" applyNumberFormat="1" applyFont="1" applyBorder="1" applyAlignment="1">
      <alignment horizontal="center" vertical="center"/>
    </xf>
    <xf numFmtId="0" fontId="39" fillId="5" borderId="1" xfId="0" applyFont="1" applyFill="1" applyBorder="1" applyAlignment="1">
      <alignment horizontal="center" vertical="center"/>
    </xf>
    <xf numFmtId="165" fontId="61" fillId="5" borderId="1" xfId="0" applyNumberFormat="1" applyFont="1" applyFill="1" applyBorder="1" applyAlignment="1">
      <alignment horizontal="center" vertical="center"/>
    </xf>
    <xf numFmtId="0" fontId="61" fillId="5" borderId="1" xfId="0" applyFont="1" applyFill="1" applyBorder="1" applyAlignment="1">
      <alignment horizontal="center" vertical="center"/>
    </xf>
    <xf numFmtId="164" fontId="61" fillId="5" borderId="1" xfId="0" applyNumberFormat="1" applyFont="1" applyFill="1" applyBorder="1" applyAlignment="1">
      <alignment horizontal="center" vertical="center"/>
    </xf>
    <xf numFmtId="0" fontId="61" fillId="5" borderId="7" xfId="0" applyFont="1" applyFill="1" applyBorder="1" applyAlignment="1">
      <alignment horizontal="center" vertical="center"/>
    </xf>
    <xf numFmtId="0" fontId="61" fillId="4" borderId="6" xfId="0" applyFont="1" applyFill="1" applyBorder="1" applyAlignment="1">
      <alignment horizontal="center" vertical="center"/>
    </xf>
    <xf numFmtId="0" fontId="39" fillId="2" borderId="2" xfId="0" applyFont="1" applyFill="1" applyBorder="1"/>
    <xf numFmtId="0" fontId="76" fillId="0" borderId="1" xfId="0" applyFont="1" applyBorder="1" applyAlignment="1">
      <alignment horizontal="center" vertical="center"/>
    </xf>
    <xf numFmtId="0" fontId="71" fillId="4" borderId="0" xfId="0" applyFont="1" applyFill="1"/>
    <xf numFmtId="166" fontId="71" fillId="4" borderId="0" xfId="0" applyNumberFormat="1" applyFont="1" applyFill="1"/>
    <xf numFmtId="0" fontId="75" fillId="5" borderId="6" xfId="0" applyFont="1" applyFill="1" applyBorder="1" applyAlignment="1">
      <alignment horizontal="center" vertical="center"/>
    </xf>
    <xf numFmtId="0" fontId="75" fillId="5" borderId="1" xfId="0" applyFont="1" applyFill="1" applyBorder="1" applyAlignment="1">
      <alignment horizontal="center" vertical="center"/>
    </xf>
    <xf numFmtId="0" fontId="45" fillId="5" borderId="1" xfId="0" applyFont="1" applyFill="1" applyBorder="1" applyAlignment="1">
      <alignment horizontal="center" vertical="center"/>
    </xf>
    <xf numFmtId="0" fontId="39" fillId="3" borderId="2" xfId="0" applyFont="1" applyFill="1" applyBorder="1" applyAlignment="1">
      <alignment vertical="center"/>
    </xf>
    <xf numFmtId="0" fontId="49" fillId="6" borderId="6" xfId="0" applyFont="1" applyFill="1" applyBorder="1" applyAlignment="1">
      <alignment horizontal="center" vertical="center"/>
    </xf>
    <xf numFmtId="0" fontId="49" fillId="6" borderId="1" xfId="0" applyFont="1" applyFill="1" applyBorder="1" applyAlignment="1">
      <alignment horizontal="center" vertical="center"/>
    </xf>
    <xf numFmtId="165" fontId="49" fillId="6" borderId="1" xfId="0" applyNumberFormat="1" applyFont="1" applyFill="1" applyBorder="1" applyAlignment="1">
      <alignment horizontal="center" vertical="center"/>
    </xf>
    <xf numFmtId="0" fontId="77" fillId="6" borderId="1" xfId="0" applyFont="1" applyFill="1" applyBorder="1" applyAlignment="1">
      <alignment horizontal="center" vertical="center"/>
    </xf>
    <xf numFmtId="164" fontId="77" fillId="6" borderId="1" xfId="0" applyNumberFormat="1" applyFont="1" applyFill="1" applyBorder="1" applyAlignment="1">
      <alignment horizontal="center" vertical="center"/>
    </xf>
    <xf numFmtId="0" fontId="44" fillId="6" borderId="1" xfId="0" applyFont="1" applyFill="1" applyBorder="1" applyAlignment="1">
      <alignment horizontal="center" vertical="center"/>
    </xf>
    <xf numFmtId="0" fontId="77" fillId="6" borderId="7" xfId="0" applyFont="1" applyFill="1" applyBorder="1" applyAlignment="1">
      <alignment horizontal="center" vertical="center"/>
    </xf>
    <xf numFmtId="0" fontId="77" fillId="6" borderId="6" xfId="0" applyFont="1" applyFill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72" fillId="4" borderId="0" xfId="0" applyFont="1" applyFill="1"/>
    <xf numFmtId="0" fontId="35" fillId="4" borderId="0" xfId="0" applyFont="1" applyFill="1" applyAlignment="1">
      <alignment wrapText="1"/>
    </xf>
    <xf numFmtId="2" fontId="64" fillId="4" borderId="0" xfId="0" applyNumberFormat="1" applyFont="1" applyFill="1"/>
    <xf numFmtId="0" fontId="70" fillId="4" borderId="0" xfId="0" applyFont="1" applyFill="1"/>
    <xf numFmtId="2" fontId="70" fillId="4" borderId="0" xfId="0" applyNumberFormat="1" applyFont="1" applyFill="1"/>
    <xf numFmtId="10" fontId="70" fillId="4" borderId="0" xfId="0" applyNumberFormat="1" applyFont="1" applyFill="1"/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78" fillId="0" borderId="0" xfId="0" applyFont="1"/>
    <xf numFmtId="0" fontId="39" fillId="0" borderId="0" xfId="0" applyFont="1" applyAlignment="1">
      <alignment vertical="center"/>
    </xf>
    <xf numFmtId="0" fontId="39" fillId="0" borderId="0" xfId="0" applyFont="1"/>
    <xf numFmtId="0" fontId="39" fillId="0" borderId="9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81" fillId="0" borderId="7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79" fillId="4" borderId="1" xfId="0" applyFont="1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78" fillId="0" borderId="6" xfId="0" applyFont="1" applyBorder="1" applyAlignment="1">
      <alignment horizontal="center" vertical="center" wrapText="1"/>
    </xf>
    <xf numFmtId="0" fontId="78" fillId="0" borderId="1" xfId="0" applyFont="1" applyBorder="1" applyAlignment="1">
      <alignment horizontal="center" vertical="center" wrapText="1"/>
    </xf>
    <xf numFmtId="0" fontId="36" fillId="0" borderId="0" xfId="0" applyFont="1"/>
    <xf numFmtId="0" fontId="38" fillId="0" borderId="1" xfId="0" applyFont="1" applyBorder="1" applyAlignment="1">
      <alignment horizontal="center" vertical="top" wrapText="1"/>
    </xf>
    <xf numFmtId="0" fontId="61" fillId="6" borderId="6" xfId="0" applyFont="1" applyFill="1" applyBorder="1" applyAlignment="1">
      <alignment horizontal="center" vertical="center"/>
    </xf>
    <xf numFmtId="165" fontId="61" fillId="6" borderId="1" xfId="0" applyNumberFormat="1" applyFont="1" applyFill="1" applyBorder="1" applyAlignment="1">
      <alignment horizontal="center" vertical="center"/>
    </xf>
    <xf numFmtId="2" fontId="45" fillId="6" borderId="1" xfId="0" applyNumberFormat="1" applyFont="1" applyFill="1" applyBorder="1" applyAlignment="1">
      <alignment horizontal="center" vertical="center"/>
    </xf>
    <xf numFmtId="0" fontId="34" fillId="6" borderId="0" xfId="0" applyFont="1" applyFill="1"/>
    <xf numFmtId="0" fontId="36" fillId="6" borderId="0" xfId="0" applyFont="1" applyFill="1"/>
    <xf numFmtId="2" fontId="45" fillId="0" borderId="1" xfId="0" applyNumberFormat="1" applyFont="1" applyBorder="1" applyAlignment="1">
      <alignment horizontal="center" vertical="center"/>
    </xf>
    <xf numFmtId="0" fontId="61" fillId="5" borderId="6" xfId="0" applyFont="1" applyFill="1" applyBorder="1" applyAlignment="1">
      <alignment horizontal="center" vertical="center"/>
    </xf>
    <xf numFmtId="0" fontId="34" fillId="5" borderId="0" xfId="0" applyFont="1" applyFill="1"/>
    <xf numFmtId="164" fontId="75" fillId="5" borderId="1" xfId="0" applyNumberFormat="1" applyFont="1" applyFill="1" applyBorder="1" applyAlignment="1">
      <alignment horizontal="center" vertical="center"/>
    </xf>
    <xf numFmtId="0" fontId="82" fillId="0" borderId="0" xfId="0" applyFont="1"/>
    <xf numFmtId="166" fontId="82" fillId="0" borderId="0" xfId="0" applyNumberFormat="1" applyFont="1"/>
    <xf numFmtId="0" fontId="79" fillId="0" borderId="1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79" fillId="0" borderId="0" xfId="0" applyFont="1"/>
    <xf numFmtId="0" fontId="44" fillId="7" borderId="0" xfId="0" applyFont="1" applyFill="1"/>
    <xf numFmtId="2" fontId="44" fillId="7" borderId="0" xfId="0" applyNumberFormat="1" applyFont="1" applyFill="1"/>
    <xf numFmtId="10" fontId="44" fillId="7" borderId="0" xfId="0" applyNumberFormat="1" applyFont="1" applyFill="1"/>
    <xf numFmtId="0" fontId="83" fillId="0" borderId="0" xfId="0" applyFont="1"/>
    <xf numFmtId="0" fontId="84" fillId="0" borderId="1" xfId="0" applyFont="1" applyBorder="1" applyAlignment="1">
      <alignment horizontal="center" vertical="center" wrapText="1"/>
    </xf>
    <xf numFmtId="0" fontId="83" fillId="0" borderId="6" xfId="0" applyFont="1" applyBorder="1" applyAlignment="1">
      <alignment horizontal="center" vertical="center" wrapText="1"/>
    </xf>
    <xf numFmtId="2" fontId="77" fillId="6" borderId="1" xfId="0" applyNumberFormat="1" applyFont="1" applyFill="1" applyBorder="1" applyAlignment="1">
      <alignment horizontal="center" vertical="center"/>
    </xf>
    <xf numFmtId="167" fontId="43" fillId="6" borderId="1" xfId="0" applyNumberFormat="1" applyFont="1" applyFill="1" applyBorder="1" applyAlignment="1">
      <alignment horizontal="center" vertical="center"/>
    </xf>
    <xf numFmtId="0" fontId="77" fillId="0" borderId="6" xfId="0" applyFont="1" applyBorder="1" applyAlignment="1">
      <alignment horizontal="center" vertical="center"/>
    </xf>
    <xf numFmtId="0" fontId="77" fillId="0" borderId="1" xfId="0" applyFont="1" applyBorder="1" applyAlignment="1">
      <alignment horizontal="center" vertical="center"/>
    </xf>
    <xf numFmtId="165" fontId="77" fillId="0" borderId="1" xfId="1" applyNumberFormat="1" applyFont="1" applyBorder="1" applyAlignment="1">
      <alignment horizontal="center" vertical="center"/>
    </xf>
    <xf numFmtId="2" fontId="77" fillId="0" borderId="1" xfId="0" applyNumberFormat="1" applyFont="1" applyBorder="1" applyAlignment="1">
      <alignment horizontal="center" vertical="center"/>
    </xf>
    <xf numFmtId="164" fontId="77" fillId="0" borderId="1" xfId="0" applyNumberFormat="1" applyFont="1" applyBorder="1" applyAlignment="1">
      <alignment horizontal="center" vertical="center"/>
    </xf>
    <xf numFmtId="1" fontId="44" fillId="0" borderId="1" xfId="0" applyNumberFormat="1" applyFont="1" applyBorder="1" applyAlignment="1">
      <alignment horizontal="center" vertical="center"/>
    </xf>
    <xf numFmtId="0" fontId="77" fillId="0" borderId="7" xfId="0" applyFont="1" applyBorder="1" applyAlignment="1">
      <alignment horizontal="center" vertical="center"/>
    </xf>
    <xf numFmtId="167" fontId="44" fillId="0" borderId="1" xfId="0" applyNumberFormat="1" applyFont="1" applyBorder="1" applyAlignment="1">
      <alignment horizontal="center" vertical="center"/>
    </xf>
    <xf numFmtId="165" fontId="77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77" fillId="4" borderId="1" xfId="0" applyFont="1" applyFill="1" applyBorder="1" applyAlignment="1">
      <alignment horizontal="center" vertical="center"/>
    </xf>
    <xf numFmtId="0" fontId="77" fillId="5" borderId="6" xfId="0" applyFont="1" applyFill="1" applyBorder="1" applyAlignment="1">
      <alignment horizontal="center" vertical="center"/>
    </xf>
    <xf numFmtId="0" fontId="77" fillId="5" borderId="1" xfId="0" applyFont="1" applyFill="1" applyBorder="1" applyAlignment="1">
      <alignment horizontal="center" vertical="center"/>
    </xf>
    <xf numFmtId="165" fontId="77" fillId="5" borderId="1" xfId="0" applyNumberFormat="1" applyFont="1" applyFill="1" applyBorder="1" applyAlignment="1">
      <alignment horizontal="center" vertical="center"/>
    </xf>
    <xf numFmtId="164" fontId="77" fillId="5" borderId="1" xfId="0" applyNumberFormat="1" applyFont="1" applyFill="1" applyBorder="1" applyAlignment="1">
      <alignment horizontal="center" vertical="center"/>
    </xf>
    <xf numFmtId="0" fontId="44" fillId="5" borderId="1" xfId="0" applyFont="1" applyFill="1" applyBorder="1" applyAlignment="1">
      <alignment horizontal="center" vertical="center"/>
    </xf>
    <xf numFmtId="0" fontId="77" fillId="5" borderId="7" xfId="0" applyFont="1" applyFill="1" applyBorder="1" applyAlignment="1">
      <alignment horizontal="center" vertical="center"/>
    </xf>
    <xf numFmtId="0" fontId="44" fillId="4" borderId="1" xfId="0" applyFont="1" applyFill="1" applyBorder="1" applyAlignment="1">
      <alignment horizontal="center" vertical="center"/>
    </xf>
    <xf numFmtId="0" fontId="77" fillId="4" borderId="6" xfId="0" applyFont="1" applyFill="1" applyBorder="1" applyAlignment="1">
      <alignment horizontal="center" vertical="center"/>
    </xf>
    <xf numFmtId="0" fontId="46" fillId="5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83" fillId="6" borderId="0" xfId="0" applyFont="1" applyFill="1"/>
    <xf numFmtId="1" fontId="49" fillId="6" borderId="6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horizontal="center" vertical="center"/>
    </xf>
    <xf numFmtId="2" fontId="85" fillId="0" borderId="0" xfId="0" applyNumberFormat="1" applyFont="1" applyAlignment="1">
      <alignment horizontal="center" vertical="center"/>
    </xf>
    <xf numFmtId="168" fontId="85" fillId="0" borderId="0" xfId="0" applyNumberFormat="1" applyFont="1" applyAlignment="1">
      <alignment horizontal="center" vertical="center"/>
    </xf>
    <xf numFmtId="168" fontId="86" fillId="0" borderId="0" xfId="0" applyNumberFormat="1" applyFont="1" applyAlignment="1">
      <alignment horizontal="center" vertical="center"/>
    </xf>
    <xf numFmtId="168" fontId="66" fillId="0" borderId="0" xfId="0" applyNumberFormat="1" applyFont="1" applyAlignment="1">
      <alignment horizontal="center" vertical="center"/>
    </xf>
    <xf numFmtId="0" fontId="46" fillId="7" borderId="0" xfId="0" applyFont="1" applyFill="1"/>
    <xf numFmtId="168" fontId="34" fillId="0" borderId="1" xfId="0" applyNumberFormat="1" applyFont="1" applyBorder="1"/>
    <xf numFmtId="0" fontId="42" fillId="5" borderId="16" xfId="0" applyFont="1" applyFill="1" applyBorder="1" applyAlignment="1">
      <alignment horizontal="center" vertical="center"/>
    </xf>
    <xf numFmtId="0" fontId="42" fillId="5" borderId="1" xfId="0" applyFont="1" applyFill="1" applyBorder="1" applyAlignment="1">
      <alignment horizontal="center" vertical="center"/>
    </xf>
    <xf numFmtId="0" fontId="42" fillId="5" borderId="6" xfId="0" applyFont="1" applyFill="1" applyBorder="1" applyAlignment="1">
      <alignment horizontal="center" vertical="center"/>
    </xf>
    <xf numFmtId="2" fontId="36" fillId="0" borderId="1" xfId="0" applyNumberFormat="1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45" fillId="0" borderId="0" xfId="2" applyFont="1"/>
    <xf numFmtId="171" fontId="44" fillId="5" borderId="0" xfId="2" applyNumberFormat="1" applyFont="1" applyFill="1"/>
    <xf numFmtId="1" fontId="67" fillId="4" borderId="0" xfId="2" applyNumberFormat="1" applyFont="1" applyFill="1"/>
    <xf numFmtId="0" fontId="67" fillId="4" borderId="0" xfId="2" applyFont="1" applyFill="1"/>
    <xf numFmtId="0" fontId="68" fillId="4" borderId="0" xfId="2" applyFont="1" applyFill="1" applyAlignment="1">
      <alignment horizontal="center"/>
    </xf>
    <xf numFmtId="0" fontId="19" fillId="4" borderId="1" xfId="0" applyFont="1" applyFill="1" applyBorder="1" applyAlignment="1">
      <alignment horizontal="center" vertical="center"/>
    </xf>
    <xf numFmtId="164" fontId="61" fillId="4" borderId="1" xfId="0" applyNumberFormat="1" applyFont="1" applyFill="1" applyBorder="1" applyAlignment="1">
      <alignment horizontal="center" vertical="center"/>
    </xf>
    <xf numFmtId="164" fontId="77" fillId="4" borderId="1" xfId="0" applyNumberFormat="1" applyFont="1" applyFill="1" applyBorder="1" applyAlignment="1">
      <alignment horizontal="center" vertical="center"/>
    </xf>
    <xf numFmtId="167" fontId="44" fillId="4" borderId="1" xfId="0" applyNumberFormat="1" applyFont="1" applyFill="1" applyBorder="1" applyAlignment="1">
      <alignment horizontal="center" vertical="center"/>
    </xf>
    <xf numFmtId="167" fontId="44" fillId="5" borderId="1" xfId="0" applyNumberFormat="1" applyFont="1" applyFill="1" applyBorder="1" applyAlignment="1">
      <alignment horizontal="center" vertical="center"/>
    </xf>
    <xf numFmtId="172" fontId="19" fillId="0" borderId="1" xfId="0" applyNumberFormat="1" applyFont="1" applyBorder="1" applyAlignment="1">
      <alignment horizontal="center" vertical="center"/>
    </xf>
    <xf numFmtId="0" fontId="90" fillId="4" borderId="0" xfId="0" applyFont="1" applyFill="1"/>
    <xf numFmtId="0" fontId="89" fillId="6" borderId="0" xfId="0" applyFont="1" applyFill="1"/>
    <xf numFmtId="0" fontId="91" fillId="6" borderId="0" xfId="0" applyFont="1" applyFill="1"/>
    <xf numFmtId="172" fontId="64" fillId="4" borderId="0" xfId="0" applyNumberFormat="1" applyFont="1" applyFill="1"/>
    <xf numFmtId="173" fontId="34" fillId="0" borderId="0" xfId="0" applyNumberFormat="1" applyFont="1"/>
    <xf numFmtId="4" fontId="34" fillId="0" borderId="0" xfId="0" applyNumberFormat="1" applyFont="1" applyAlignment="1">
      <alignment horizontal="center" vertical="center"/>
    </xf>
    <xf numFmtId="4" fontId="34" fillId="0" borderId="0" xfId="0" applyNumberFormat="1" applyFont="1"/>
    <xf numFmtId="170" fontId="3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170" fontId="0" fillId="0" borderId="0" xfId="0" applyNumberFormat="1" applyAlignment="1">
      <alignment horizontal="center" vertical="center"/>
    </xf>
    <xf numFmtId="167" fontId="52" fillId="4" borderId="0" xfId="0" applyNumberFormat="1" applyFont="1" applyFill="1" applyAlignment="1">
      <alignment horizontal="center" vertical="center"/>
    </xf>
    <xf numFmtId="172" fontId="52" fillId="4" borderId="0" xfId="0" applyNumberFormat="1" applyFont="1" applyFill="1" applyAlignment="1">
      <alignment horizontal="center" vertical="center"/>
    </xf>
    <xf numFmtId="172" fontId="0" fillId="0" borderId="0" xfId="0" applyNumberFormat="1" applyAlignment="1">
      <alignment horizontal="center" vertical="center"/>
    </xf>
    <xf numFmtId="172" fontId="0" fillId="0" borderId="0" xfId="0" applyNumberFormat="1"/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70" fillId="4" borderId="0" xfId="0" applyFont="1" applyFill="1" applyAlignment="1">
      <alignment horizontal="center" vertical="center"/>
    </xf>
    <xf numFmtId="0" fontId="35" fillId="4" borderId="10" xfId="0" applyFont="1" applyFill="1" applyBorder="1" applyAlignment="1">
      <alignment horizontal="center" vertical="center" wrapText="1"/>
    </xf>
    <xf numFmtId="0" fontId="35" fillId="4" borderId="12" xfId="0" applyFont="1" applyFill="1" applyBorder="1" applyAlignment="1">
      <alignment horizontal="center" vertical="center" wrapText="1"/>
    </xf>
    <xf numFmtId="0" fontId="35" fillId="4" borderId="11" xfId="0" applyFont="1" applyFill="1" applyBorder="1" applyAlignment="1">
      <alignment horizontal="center" vertical="center" wrapText="1"/>
    </xf>
    <xf numFmtId="0" fontId="35" fillId="4" borderId="13" xfId="0" applyFont="1" applyFill="1" applyBorder="1" applyAlignment="1">
      <alignment horizontal="center" vertical="center" wrapText="1"/>
    </xf>
    <xf numFmtId="0" fontId="35" fillId="4" borderId="14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vertical="center"/>
    </xf>
    <xf numFmtId="0" fontId="35" fillId="4" borderId="5" xfId="0" applyFont="1" applyFill="1" applyBorder="1" applyAlignment="1">
      <alignment horizontal="center" vertical="center"/>
    </xf>
    <xf numFmtId="0" fontId="35" fillId="4" borderId="3" xfId="0" applyFont="1" applyFill="1" applyBorder="1" applyAlignment="1">
      <alignment horizontal="center" vertical="center"/>
    </xf>
    <xf numFmtId="0" fontId="35" fillId="4" borderId="9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35" fillId="4" borderId="7" xfId="0" applyFont="1" applyFill="1" applyBorder="1" applyAlignment="1">
      <alignment horizontal="center" vertical="center" wrapText="1"/>
    </xf>
    <xf numFmtId="0" fontId="72" fillId="4" borderId="2" xfId="0" applyFont="1" applyFill="1" applyBorder="1" applyAlignment="1">
      <alignment horizontal="center" vertical="center"/>
    </xf>
    <xf numFmtId="0" fontId="72" fillId="4" borderId="8" xfId="0" applyFont="1" applyFill="1" applyBorder="1" applyAlignment="1">
      <alignment horizontal="center" vertical="center"/>
    </xf>
    <xf numFmtId="0" fontId="72" fillId="4" borderId="1" xfId="0" applyFont="1" applyFill="1" applyBorder="1" applyAlignment="1">
      <alignment horizontal="center" vertical="center" wrapText="1"/>
    </xf>
    <xf numFmtId="0" fontId="35" fillId="4" borderId="0" xfId="0" applyFont="1" applyFill="1" applyAlignment="1">
      <alignment horizontal="left" vertical="center" wrapText="1"/>
    </xf>
    <xf numFmtId="0" fontId="35" fillId="4" borderId="6" xfId="0" applyFont="1" applyFill="1" applyBorder="1" applyAlignment="1">
      <alignment horizontal="center" vertical="center" wrapText="1"/>
    </xf>
    <xf numFmtId="0" fontId="74" fillId="2" borderId="2" xfId="0" applyFont="1" applyFill="1" applyBorder="1" applyAlignment="1">
      <alignment horizontal="center" vertical="top" wrapText="1"/>
    </xf>
    <xf numFmtId="0" fontId="74" fillId="2" borderId="8" xfId="0" applyFont="1" applyFill="1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69" fillId="0" borderId="0" xfId="0" applyFont="1" applyAlignment="1">
      <alignment horizontal="center" vertical="center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72" fillId="3" borderId="2" xfId="0" applyFont="1" applyFill="1" applyBorder="1" applyAlignment="1">
      <alignment horizontal="center" vertical="center"/>
    </xf>
    <xf numFmtId="0" fontId="72" fillId="3" borderId="8" xfId="0" applyFont="1" applyFill="1" applyBorder="1" applyAlignment="1">
      <alignment horizontal="center" vertical="center"/>
    </xf>
    <xf numFmtId="0" fontId="79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81" fillId="0" borderId="0" xfId="0" applyFont="1" applyAlignment="1">
      <alignment horizontal="left" vertical="center" wrapText="1"/>
    </xf>
    <xf numFmtId="0" fontId="39" fillId="0" borderId="6" xfId="0" applyFont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top" wrapText="1"/>
    </xf>
    <xf numFmtId="0" fontId="31" fillId="2" borderId="8" xfId="0" applyFont="1" applyFill="1" applyBorder="1" applyAlignment="1">
      <alignment horizontal="center" vertical="top" wrapText="1"/>
    </xf>
    <xf numFmtId="0" fontId="84" fillId="0" borderId="1" xfId="0" applyFont="1" applyBorder="1" applyAlignment="1">
      <alignment horizontal="center" vertical="center" wrapText="1"/>
    </xf>
    <xf numFmtId="0" fontId="69" fillId="2" borderId="2" xfId="0" applyFont="1" applyFill="1" applyBorder="1" applyAlignment="1">
      <alignment horizontal="center" vertical="center" wrapText="1"/>
    </xf>
    <xf numFmtId="0" fontId="69" fillId="2" borderId="8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center" wrapText="1"/>
    </xf>
    <xf numFmtId="0" fontId="24" fillId="0" borderId="0" xfId="2" applyFont="1" applyAlignment="1">
      <alignment horizontal="center"/>
    </xf>
    <xf numFmtId="4" fontId="30" fillId="0" borderId="0" xfId="2" applyNumberFormat="1" applyFont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left" vertical="center" wrapText="1"/>
    </xf>
    <xf numFmtId="0" fontId="25" fillId="0" borderId="0" xfId="2" applyFont="1" applyAlignment="1">
      <alignment horizontal="left" wrapText="1"/>
    </xf>
    <xf numFmtId="0" fontId="24" fillId="0" borderId="13" xfId="2" applyFont="1" applyBorder="1" applyAlignment="1">
      <alignment horizontal="left" vertical="center" wrapText="1"/>
    </xf>
    <xf numFmtId="0" fontId="24" fillId="0" borderId="14" xfId="2" applyFont="1" applyBorder="1" applyAlignment="1">
      <alignment horizontal="left" vertical="center" wrapText="1"/>
    </xf>
    <xf numFmtId="0" fontId="61" fillId="0" borderId="0" xfId="0" applyFont="1" applyAlignment="1">
      <alignment horizontal="left" vertical="top" wrapText="1"/>
    </xf>
    <xf numFmtId="0" fontId="69" fillId="0" borderId="0" xfId="0" applyFont="1" applyAlignment="1">
      <alignment horizontal="center"/>
    </xf>
    <xf numFmtId="0" fontId="61" fillId="0" borderId="13" xfId="0" applyFont="1" applyBorder="1" applyAlignment="1">
      <alignment horizontal="left" vertical="center" wrapText="1"/>
    </xf>
    <xf numFmtId="0" fontId="61" fillId="0" borderId="15" xfId="0" applyFont="1" applyBorder="1" applyAlignment="1">
      <alignment horizontal="left" vertical="center" wrapText="1"/>
    </xf>
    <xf numFmtId="2" fontId="34" fillId="0" borderId="13" xfId="0" applyNumberFormat="1" applyFont="1" applyBorder="1" applyAlignment="1">
      <alignment horizontal="center" vertical="center" wrapText="1"/>
    </xf>
    <xf numFmtId="2" fontId="34" fillId="0" borderId="15" xfId="0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right" vertical="center" wrapText="1"/>
    </xf>
    <xf numFmtId="0" fontId="34" fillId="0" borderId="15" xfId="0" applyFont="1" applyBorder="1" applyAlignment="1">
      <alignment horizontal="right" vertical="center" wrapText="1"/>
    </xf>
    <xf numFmtId="0" fontId="61" fillId="0" borderId="17" xfId="0" applyFont="1" applyBorder="1" applyAlignment="1">
      <alignment horizontal="center" vertical="center" wrapText="1"/>
    </xf>
    <xf numFmtId="0" fontId="61" fillId="0" borderId="2" xfId="0" applyFont="1" applyBorder="1" applyAlignment="1">
      <alignment horizontal="center" vertical="center" wrapText="1"/>
    </xf>
    <xf numFmtId="0" fontId="61" fillId="0" borderId="9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61" fillId="0" borderId="15" xfId="0" applyFont="1" applyBorder="1" applyAlignment="1">
      <alignment horizontal="center" vertical="center" wrapText="1"/>
    </xf>
    <xf numFmtId="2" fontId="34" fillId="0" borderId="13" xfId="0" applyNumberFormat="1" applyFont="1" applyBorder="1" applyAlignment="1">
      <alignment horizontal="right" vertical="center" wrapText="1"/>
    </xf>
    <xf numFmtId="2" fontId="34" fillId="0" borderId="15" xfId="0" applyNumberFormat="1" applyFont="1" applyBorder="1" applyAlignment="1">
      <alignment horizontal="right" vertical="center" wrapText="1"/>
    </xf>
    <xf numFmtId="2" fontId="36" fillId="0" borderId="13" xfId="0" applyNumberFormat="1" applyFont="1" applyBorder="1" applyAlignment="1">
      <alignment horizontal="center" vertical="center" wrapText="1"/>
    </xf>
    <xf numFmtId="2" fontId="36" fillId="0" borderId="15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61" fillId="0" borderId="18" xfId="0" applyFont="1" applyFill="1" applyBorder="1" applyAlignment="1">
      <alignment horizontal="left" wrapText="1"/>
    </xf>
    <xf numFmtId="0" fontId="61" fillId="0" borderId="0" xfId="0" applyFont="1" applyFill="1" applyBorder="1" applyAlignment="1">
      <alignment horizontal="left" wrapText="1"/>
    </xf>
    <xf numFmtId="0" fontId="62" fillId="0" borderId="0" xfId="0" applyFont="1" applyFill="1" applyBorder="1" applyAlignment="1">
      <alignment horizontal="center" wrapText="1"/>
    </xf>
    <xf numFmtId="0" fontId="65" fillId="0" borderId="0" xfId="2" applyFont="1" applyAlignment="1">
      <alignment horizontal="center"/>
    </xf>
    <xf numFmtId="0" fontId="65" fillId="0" borderId="0" xfId="2" applyFont="1" applyAlignment="1">
      <alignment horizontal="center" vertical="center" wrapText="1"/>
    </xf>
    <xf numFmtId="0" fontId="43" fillId="8" borderId="0" xfId="2" applyFont="1" applyFill="1" applyAlignment="1">
      <alignment horizontal="center" wrapText="1"/>
    </xf>
    <xf numFmtId="0" fontId="45" fillId="0" borderId="0" xfId="2" applyFont="1" applyAlignment="1">
      <alignment horizontal="center" wrapText="1"/>
    </xf>
    <xf numFmtId="0" fontId="45" fillId="0" borderId="0" xfId="2" applyFont="1" applyAlignment="1">
      <alignment horizontal="center"/>
    </xf>
    <xf numFmtId="4" fontId="59" fillId="0" borderId="0" xfId="2" applyNumberFormat="1" applyFont="1" applyAlignment="1">
      <alignment horizontal="center" vertical="center" wrapText="1"/>
    </xf>
    <xf numFmtId="0" fontId="43" fillId="8" borderId="0" xfId="2" applyFont="1" applyFill="1" applyAlignment="1">
      <alignment horizontal="left" vertical="center" wrapText="1"/>
    </xf>
    <xf numFmtId="0" fontId="42" fillId="0" borderId="0" xfId="2" applyFont="1" applyAlignment="1">
      <alignment horizontal="left" vertical="center" wrapText="1"/>
    </xf>
    <xf numFmtId="0" fontId="46" fillId="8" borderId="0" xfId="2" applyFont="1" applyFill="1" applyAlignment="1">
      <alignment horizontal="center" wrapText="1"/>
    </xf>
    <xf numFmtId="0" fontId="46" fillId="8" borderId="0" xfId="2" applyFont="1" applyFill="1" applyAlignment="1">
      <alignment horizontal="center"/>
    </xf>
    <xf numFmtId="0" fontId="64" fillId="0" borderId="0" xfId="2" applyFont="1" applyAlignment="1">
      <alignment horizontal="center"/>
    </xf>
    <xf numFmtId="0" fontId="46" fillId="0" borderId="0" xfId="2" applyFont="1" applyAlignment="1">
      <alignment horizontal="left" vertical="center" wrapText="1"/>
    </xf>
    <xf numFmtId="0" fontId="40" fillId="0" borderId="0" xfId="2" applyFont="1" applyAlignment="1">
      <alignment horizontal="center" wrapText="1"/>
    </xf>
    <xf numFmtId="0" fontId="51" fillId="0" borderId="0" xfId="2" applyFont="1" applyAlignment="1">
      <alignment horizontal="center" wrapText="1"/>
    </xf>
    <xf numFmtId="0" fontId="51" fillId="0" borderId="0" xfId="2" applyFont="1" applyAlignment="1">
      <alignment horizontal="center"/>
    </xf>
    <xf numFmtId="0" fontId="40" fillId="0" borderId="0" xfId="2" applyFont="1" applyAlignment="1">
      <alignment horizontal="center"/>
    </xf>
    <xf numFmtId="0" fontId="31" fillId="0" borderId="17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0000FF"/>
      <color rgb="FFCC99FF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18</xdr:row>
      <xdr:rowOff>0</xdr:rowOff>
    </xdr:from>
    <xdr:to>
      <xdr:col>0</xdr:col>
      <xdr:colOff>438150</xdr:colOff>
      <xdr:row>19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76237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16</xdr:row>
      <xdr:rowOff>161925</xdr:rowOff>
    </xdr:from>
    <xdr:to>
      <xdr:col>0</xdr:col>
      <xdr:colOff>476250</xdr:colOff>
      <xdr:row>16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10515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19</xdr:row>
      <xdr:rowOff>83344</xdr:rowOff>
    </xdr:from>
    <xdr:to>
      <xdr:col>2</xdr:col>
      <xdr:colOff>340518</xdr:colOff>
      <xdr:row>20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156" y="5965032"/>
          <a:ext cx="1721643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20</xdr:row>
      <xdr:rowOff>0</xdr:rowOff>
    </xdr:from>
    <xdr:to>
      <xdr:col>1</xdr:col>
      <xdr:colOff>28575</xdr:colOff>
      <xdr:row>20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400550"/>
          <a:ext cx="11430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2</xdr:col>
      <xdr:colOff>1009650</xdr:colOff>
      <xdr:row>25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6962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27</xdr:row>
      <xdr:rowOff>28575</xdr:rowOff>
    </xdr:from>
    <xdr:to>
      <xdr:col>0</xdr:col>
      <xdr:colOff>628650</xdr:colOff>
      <xdr:row>27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534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866775</xdr:colOff>
      <xdr:row>29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05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93</xdr:row>
      <xdr:rowOff>0</xdr:rowOff>
    </xdr:from>
    <xdr:to>
      <xdr:col>2</xdr:col>
      <xdr:colOff>342900</xdr:colOff>
      <xdr:row>94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4601825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95</xdr:row>
      <xdr:rowOff>161925</xdr:rowOff>
    </xdr:from>
    <xdr:to>
      <xdr:col>0</xdr:col>
      <xdr:colOff>476250</xdr:colOff>
      <xdr:row>95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4305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752475</xdr:colOff>
      <xdr:row>100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849725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104</xdr:row>
      <xdr:rowOff>0</xdr:rowOff>
    </xdr:from>
    <xdr:to>
      <xdr:col>2</xdr:col>
      <xdr:colOff>1209675</xdr:colOff>
      <xdr:row>104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8678525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819150</xdr:colOff>
      <xdr:row>106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88125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47</xdr:row>
      <xdr:rowOff>0</xdr:rowOff>
    </xdr:from>
    <xdr:to>
      <xdr:col>2</xdr:col>
      <xdr:colOff>1009650</xdr:colOff>
      <xdr:row>47</xdr:row>
      <xdr:rowOff>333375</xdr:rowOff>
    </xdr:to>
    <xdr:pic>
      <xdr:nvPicPr>
        <xdr:cNvPr id="74" name="Рисунок 7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8691563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49</xdr:row>
      <xdr:rowOff>28575</xdr:rowOff>
    </xdr:from>
    <xdr:to>
      <xdr:col>0</xdr:col>
      <xdr:colOff>628650</xdr:colOff>
      <xdr:row>49</xdr:row>
      <xdr:rowOff>285750</xdr:rowOff>
    </xdr:to>
    <xdr:pic>
      <xdr:nvPicPr>
        <xdr:cNvPr id="75" name="Рисунок 7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267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866775</xdr:colOff>
      <xdr:row>51</xdr:row>
      <xdr:rowOff>333375</xdr:rowOff>
    </xdr:to>
    <xdr:pic>
      <xdr:nvPicPr>
        <xdr:cNvPr id="76" name="Рисунок 7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4563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69</xdr:row>
      <xdr:rowOff>0</xdr:rowOff>
    </xdr:from>
    <xdr:to>
      <xdr:col>2</xdr:col>
      <xdr:colOff>1009650</xdr:colOff>
      <xdr:row>69</xdr:row>
      <xdr:rowOff>333375</xdr:rowOff>
    </xdr:to>
    <xdr:pic>
      <xdr:nvPicPr>
        <xdr:cNvPr id="77" name="Рисунок 7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16168688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71</xdr:row>
      <xdr:rowOff>28575</xdr:rowOff>
    </xdr:from>
    <xdr:to>
      <xdr:col>0</xdr:col>
      <xdr:colOff>628650</xdr:colOff>
      <xdr:row>71</xdr:row>
      <xdr:rowOff>285750</xdr:rowOff>
    </xdr:to>
    <xdr:pic>
      <xdr:nvPicPr>
        <xdr:cNvPr id="78" name="Рисунок 7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7449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866775</xdr:colOff>
      <xdr:row>73</xdr:row>
      <xdr:rowOff>333375</xdr:rowOff>
    </xdr:to>
    <xdr:pic>
      <xdr:nvPicPr>
        <xdr:cNvPr id="79" name="Рисунок 7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11688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21</xdr:row>
      <xdr:rowOff>0</xdr:rowOff>
    </xdr:from>
    <xdr:to>
      <xdr:col>1</xdr:col>
      <xdr:colOff>28575</xdr:colOff>
      <xdr:row>21</xdr:row>
      <xdr:rowOff>266700</xdr:rowOff>
    </xdr:to>
    <xdr:pic>
      <xdr:nvPicPr>
        <xdr:cNvPr id="21" name="Рисунок 2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429500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1281113</xdr:colOff>
      <xdr:row>30</xdr:row>
      <xdr:rowOff>266700</xdr:rowOff>
    </xdr:to>
    <xdr:pic>
      <xdr:nvPicPr>
        <xdr:cNvPr id="22" name="Рисунок 2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1281113</xdr:colOff>
      <xdr:row>52</xdr:row>
      <xdr:rowOff>266700</xdr:rowOff>
    </xdr:to>
    <xdr:pic>
      <xdr:nvPicPr>
        <xdr:cNvPr id="25" name="Рисунок 2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1281113</xdr:colOff>
      <xdr:row>74</xdr:row>
      <xdr:rowOff>266700</xdr:rowOff>
    </xdr:to>
    <xdr:pic>
      <xdr:nvPicPr>
        <xdr:cNvPr id="26" name="Рисунок 2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33469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467350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81012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950744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429375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99160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56310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460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84</xdr:row>
      <xdr:rowOff>0</xdr:rowOff>
    </xdr:from>
    <xdr:to>
      <xdr:col>2</xdr:col>
      <xdr:colOff>342900</xdr:colOff>
      <xdr:row>85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775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86</xdr:row>
      <xdr:rowOff>161925</xdr:rowOff>
    </xdr:from>
    <xdr:to>
      <xdr:col>0</xdr:col>
      <xdr:colOff>476250</xdr:colOff>
      <xdr:row>86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604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752475</xdr:colOff>
      <xdr:row>91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23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95</xdr:row>
      <xdr:rowOff>0</xdr:rowOff>
    </xdr:from>
    <xdr:to>
      <xdr:col>2</xdr:col>
      <xdr:colOff>1209675</xdr:colOff>
      <xdr:row>95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852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819150</xdr:colOff>
      <xdr:row>97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461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2</xdr:col>
      <xdr:colOff>1009650</xdr:colOff>
      <xdr:row>40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64401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42</xdr:row>
      <xdr:rowOff>28575</xdr:rowOff>
    </xdr:from>
    <xdr:to>
      <xdr:col>0</xdr:col>
      <xdr:colOff>628650</xdr:colOff>
      <xdr:row>42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70116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866775</xdr:colOff>
      <xdr:row>44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831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61</xdr:row>
      <xdr:rowOff>0</xdr:rowOff>
    </xdr:from>
    <xdr:to>
      <xdr:col>2</xdr:col>
      <xdr:colOff>1009650</xdr:colOff>
      <xdr:row>61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755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63</xdr:row>
      <xdr:rowOff>28575</xdr:rowOff>
    </xdr:from>
    <xdr:to>
      <xdr:col>0</xdr:col>
      <xdr:colOff>628650</xdr:colOff>
      <xdr:row>63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4326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866775</xdr:colOff>
      <xdr:row>65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898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6252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3053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445919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924550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486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058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29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84</xdr:row>
      <xdr:rowOff>0</xdr:rowOff>
    </xdr:from>
    <xdr:to>
      <xdr:col>2</xdr:col>
      <xdr:colOff>342900</xdr:colOff>
      <xdr:row>85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394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86</xdr:row>
      <xdr:rowOff>161925</xdr:rowOff>
    </xdr:from>
    <xdr:to>
      <xdr:col>0</xdr:col>
      <xdr:colOff>476250</xdr:colOff>
      <xdr:row>86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223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752475</xdr:colOff>
      <xdr:row>91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642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95</xdr:row>
      <xdr:rowOff>0</xdr:rowOff>
    </xdr:from>
    <xdr:to>
      <xdr:col>2</xdr:col>
      <xdr:colOff>1209675</xdr:colOff>
      <xdr:row>95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471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819150</xdr:colOff>
      <xdr:row>97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080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2</xdr:col>
      <xdr:colOff>1009650</xdr:colOff>
      <xdr:row>40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593532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42</xdr:row>
      <xdr:rowOff>28575</xdr:rowOff>
    </xdr:from>
    <xdr:to>
      <xdr:col>0</xdr:col>
      <xdr:colOff>628650</xdr:colOff>
      <xdr:row>42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506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866775</xdr:colOff>
      <xdr:row>44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07832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61</xdr:row>
      <xdr:rowOff>0</xdr:rowOff>
    </xdr:from>
    <xdr:to>
      <xdr:col>2</xdr:col>
      <xdr:colOff>1009650</xdr:colOff>
      <xdr:row>61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374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63</xdr:row>
      <xdr:rowOff>28575</xdr:rowOff>
    </xdr:from>
    <xdr:to>
      <xdr:col>0</xdr:col>
      <xdr:colOff>628650</xdr:colOff>
      <xdr:row>63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3945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866775</xdr:colOff>
      <xdr:row>65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517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2%20&#1075;&#1086;&#1076;/&#1055;&#1088;&#1086;&#1090;&#1086;&#1082;&#1086;&#1083;%20&#8470;%209%20&#1086;&#1090;%2015.07.2022/&#1055;&#1088;&#1080;&#1083;&#1086;&#1078;&#1077;&#1085;&#1080;&#1077;%20&#1082;%20&#1074;&#1086;&#1087;&#1088;&#1086;&#1089;&#1091;%20&#8470;%2009-05%20(&#1056;&#1077;&#1079;&#1091;&#1083;&#1100;&#1090;&#1072;&#1090;&#1080;&#1074;&#1085;&#1086;&#1089;&#1090;&#1100;)/&#1054;&#1094;&#1077;&#1085;&#1082;&#1072;%20&#1056;&#1077;&#1079;&#1091;&#1083;&#1100;&#1090;&#1072;&#1090;&#1080;&#1074;&#1085;&#1086;&#1089;&#1090;&#1080;%20&#1079;&#1072;%201%20&#1087;&#1086;&#1083;&#1091;&#1075;&#1086;&#1076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Р_1_Городская пол-ка"/>
      <sheetName val="ПР-1_МОДБ"/>
      <sheetName val="ПР_1_МОБ"/>
      <sheetName val="ПР_2_Ранжирование"/>
      <sheetName val="ПР_3 ОБЪЕМ СРЕДСТ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54"/>
  <sheetViews>
    <sheetView view="pageBreakPreview" zoomScale="70" zoomScaleNormal="80" zoomScaleSheetLayoutView="70" workbookViewId="0">
      <selection activeCell="G54" sqref="G54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23" ht="25.5" customHeight="1" thickBot="1" x14ac:dyDescent="0.3">
      <c r="A1" s="357" t="s">
        <v>218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  <c r="Q1" s="357"/>
      <c r="R1" s="357"/>
    </row>
    <row r="2" spans="1:23" s="4" customFormat="1" ht="21.75" customHeight="1" x14ac:dyDescent="0.25">
      <c r="A2" s="358" t="s">
        <v>55</v>
      </c>
      <c r="B2" s="361" t="s">
        <v>54</v>
      </c>
      <c r="C2" s="364" t="s">
        <v>52</v>
      </c>
      <c r="D2" s="364"/>
      <c r="E2" s="364"/>
      <c r="F2" s="364"/>
      <c r="G2" s="364"/>
      <c r="H2" s="364"/>
      <c r="I2" s="364"/>
      <c r="J2" s="364"/>
      <c r="K2" s="364"/>
      <c r="L2" s="364"/>
      <c r="M2" s="365"/>
      <c r="N2" s="366" t="s">
        <v>1</v>
      </c>
      <c r="O2" s="364"/>
      <c r="P2" s="364"/>
      <c r="Q2" s="364"/>
      <c r="R2" s="365"/>
    </row>
    <row r="3" spans="1:23" s="6" customFormat="1" ht="12" customHeight="1" x14ac:dyDescent="0.2">
      <c r="A3" s="359"/>
      <c r="B3" s="362"/>
      <c r="C3" s="367" t="s">
        <v>33</v>
      </c>
      <c r="D3" s="368" t="s">
        <v>34</v>
      </c>
      <c r="E3" s="368" t="s">
        <v>35</v>
      </c>
      <c r="F3" s="368" t="s">
        <v>36</v>
      </c>
      <c r="G3" s="368" t="s">
        <v>42</v>
      </c>
      <c r="H3" s="368" t="s">
        <v>43</v>
      </c>
      <c r="I3" s="372" t="s">
        <v>31</v>
      </c>
      <c r="J3" s="368" t="s">
        <v>29</v>
      </c>
      <c r="K3" s="368" t="s">
        <v>30</v>
      </c>
      <c r="L3" s="368" t="s">
        <v>32</v>
      </c>
      <c r="M3" s="369" t="s">
        <v>0</v>
      </c>
      <c r="N3" s="375" t="s">
        <v>33</v>
      </c>
      <c r="O3" s="368" t="s">
        <v>34</v>
      </c>
      <c r="P3" s="368" t="s">
        <v>35</v>
      </c>
      <c r="Q3" s="372" t="s">
        <v>31</v>
      </c>
      <c r="R3" s="369" t="s">
        <v>0</v>
      </c>
    </row>
    <row r="4" spans="1:23" s="6" customFormat="1" ht="12" customHeight="1" x14ac:dyDescent="0.2">
      <c r="A4" s="359"/>
      <c r="B4" s="362"/>
      <c r="C4" s="367"/>
      <c r="D4" s="368"/>
      <c r="E4" s="368"/>
      <c r="F4" s="368"/>
      <c r="G4" s="368"/>
      <c r="H4" s="368"/>
      <c r="I4" s="372"/>
      <c r="J4" s="368"/>
      <c r="K4" s="368"/>
      <c r="L4" s="368"/>
      <c r="M4" s="369"/>
      <c r="N4" s="375"/>
      <c r="O4" s="368"/>
      <c r="P4" s="368"/>
      <c r="Q4" s="372"/>
      <c r="R4" s="369"/>
    </row>
    <row r="5" spans="1:23" s="6" customFormat="1" ht="64.5" customHeight="1" x14ac:dyDescent="0.2">
      <c r="A5" s="359"/>
      <c r="B5" s="362"/>
      <c r="C5" s="367"/>
      <c r="D5" s="368"/>
      <c r="E5" s="368"/>
      <c r="F5" s="368"/>
      <c r="G5" s="368"/>
      <c r="H5" s="368"/>
      <c r="I5" s="372"/>
      <c r="J5" s="368"/>
      <c r="K5" s="368"/>
      <c r="L5" s="368"/>
      <c r="M5" s="369"/>
      <c r="N5" s="375"/>
      <c r="O5" s="368"/>
      <c r="P5" s="368"/>
      <c r="Q5" s="372"/>
      <c r="R5" s="369"/>
    </row>
    <row r="6" spans="1:23" s="6" customFormat="1" ht="15" customHeight="1" x14ac:dyDescent="0.2">
      <c r="A6" s="359"/>
      <c r="B6" s="362"/>
      <c r="C6" s="370" t="s">
        <v>27</v>
      </c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1"/>
    </row>
    <row r="7" spans="1:23" s="6" customFormat="1" ht="207.75" customHeight="1" x14ac:dyDescent="0.2">
      <c r="A7" s="360"/>
      <c r="B7" s="363"/>
      <c r="C7" s="29" t="s">
        <v>47</v>
      </c>
      <c r="D7" s="26" t="s">
        <v>47</v>
      </c>
      <c r="E7" s="26" t="s">
        <v>46</v>
      </c>
      <c r="F7" s="26" t="s">
        <v>53</v>
      </c>
      <c r="G7" s="26" t="s">
        <v>51</v>
      </c>
      <c r="H7" s="26" t="s">
        <v>49</v>
      </c>
      <c r="I7" s="51" t="s">
        <v>50</v>
      </c>
      <c r="J7" s="26" t="s">
        <v>44</v>
      </c>
      <c r="K7" s="26" t="s">
        <v>44</v>
      </c>
      <c r="L7" s="7" t="s">
        <v>41</v>
      </c>
      <c r="M7" s="8"/>
      <c r="N7" s="28" t="s">
        <v>47</v>
      </c>
      <c r="O7" s="26" t="s">
        <v>47</v>
      </c>
      <c r="P7" s="26" t="s">
        <v>48</v>
      </c>
      <c r="Q7" s="60" t="s">
        <v>45</v>
      </c>
      <c r="R7" s="8"/>
    </row>
    <row r="8" spans="1:23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23" ht="15" customHeight="1" x14ac:dyDescent="0.25">
      <c r="A9" s="24"/>
      <c r="B9" s="25"/>
      <c r="C9" s="377" t="s">
        <v>56</v>
      </c>
      <c r="D9" s="377"/>
      <c r="E9" s="377"/>
      <c r="F9" s="377"/>
      <c r="G9" s="377"/>
      <c r="H9" s="377"/>
      <c r="I9" s="377"/>
      <c r="J9" s="377"/>
      <c r="K9" s="377"/>
      <c r="L9" s="377"/>
      <c r="M9" s="377"/>
      <c r="N9" s="377"/>
      <c r="O9" s="377"/>
      <c r="P9" s="377"/>
      <c r="Q9" s="377"/>
      <c r="R9" s="378"/>
    </row>
    <row r="10" spans="1:23" s="37" customFormat="1" ht="60" x14ac:dyDescent="0.25">
      <c r="A10" s="34">
        <v>1</v>
      </c>
      <c r="B10" s="35" t="s">
        <v>2</v>
      </c>
      <c r="C10" s="95">
        <f>МОБ!C15+МОЦОМиД!C15+'Городская поликлиника'!C15</f>
        <v>28440</v>
      </c>
      <c r="D10" s="94">
        <f>МОБ!D15+МОЦОМиД!D15+'Городская поликлиника'!D15</f>
        <v>221455</v>
      </c>
      <c r="E10" s="63">
        <f>IFERROR(ROUND(C10/D10,9),0)</f>
        <v>0.128423382</v>
      </c>
      <c r="F10" s="64" t="s">
        <v>28</v>
      </c>
      <c r="G10" s="63">
        <f>IFERROR(ROUND((E10/P10*100-100),9),0)</f>
        <v>95.578888289000005</v>
      </c>
      <c r="H10" s="64" t="s">
        <v>28</v>
      </c>
      <c r="I10" s="65">
        <v>0.5</v>
      </c>
      <c r="J10" s="62">
        <v>0</v>
      </c>
      <c r="K10" s="62">
        <v>1</v>
      </c>
      <c r="L10" s="62">
        <v>1</v>
      </c>
      <c r="M10" s="66"/>
      <c r="N10" s="93">
        <f>МОБ!N15+МОЦОМиД!N15+'Городская поликлиника'!N15</f>
        <v>12721</v>
      </c>
      <c r="O10" s="94">
        <f>МОБ!O15+МОЦОМиД!O15+'Городская поликлиника'!O15</f>
        <v>193731</v>
      </c>
      <c r="P10" s="63">
        <f t="shared" ref="P10:P14" si="0">IFERROR(ROUND(N10/O10,9),0)</f>
        <v>6.5663212999999998E-2</v>
      </c>
      <c r="Q10" s="68">
        <v>1</v>
      </c>
      <c r="R10" s="66"/>
      <c r="T10" s="37">
        <f>МОБ!T15+'Городская поликлиника'!T15</f>
        <v>2</v>
      </c>
      <c r="U10" s="37">
        <f>МОБ!U15+'Городская поликлиника'!U15</f>
        <v>2</v>
      </c>
      <c r="V10" s="37">
        <f>T10/U10</f>
        <v>1</v>
      </c>
      <c r="W10" s="37">
        <f>P10/V10*100-100</f>
        <v>-93.433678700000002</v>
      </c>
    </row>
    <row r="11" spans="1:23" ht="120" x14ac:dyDescent="0.25">
      <c r="A11" s="9">
        <v>2</v>
      </c>
      <c r="B11" s="10" t="s">
        <v>3</v>
      </c>
      <c r="C11" s="69">
        <f>МОБ!C16+МОЦОМиД!C16+'Городская поликлиника'!C16</f>
        <v>212</v>
      </c>
      <c r="D11" s="70">
        <f>МОБ!D16+МОЦОМиД!D16+'Городская поликлиника'!D16</f>
        <v>850</v>
      </c>
      <c r="E11" s="71">
        <f t="shared" ref="E11:E22" si="1">IFERROR(ROUND(C11/D11,9),0)</f>
        <v>0.24941176500000001</v>
      </c>
      <c r="F11" s="72" t="s">
        <v>28</v>
      </c>
      <c r="G11" s="73">
        <f t="shared" ref="G11:G17" si="2">IFERROR(ROUND((E11/P11*100-100),9),0)</f>
        <v>-10.37621199</v>
      </c>
      <c r="H11" s="72" t="s">
        <v>28</v>
      </c>
      <c r="I11" s="74">
        <v>0</v>
      </c>
      <c r="J11" s="70">
        <v>0</v>
      </c>
      <c r="K11" s="70">
        <v>0</v>
      </c>
      <c r="L11" s="70">
        <v>1</v>
      </c>
      <c r="M11" s="75"/>
      <c r="N11" s="69">
        <f>МОБ!N16+МОЦОМиД!N16+'Городская поликлиника'!N16</f>
        <v>273</v>
      </c>
      <c r="O11" s="70">
        <f>МОБ!O16+МОЦОМиД!O16+'Городская поликлиника'!O16</f>
        <v>981</v>
      </c>
      <c r="P11" s="73">
        <f t="shared" si="0"/>
        <v>0.27828746199999999</v>
      </c>
      <c r="Q11" s="76">
        <v>2</v>
      </c>
      <c r="R11" s="75"/>
    </row>
    <row r="12" spans="1:23" ht="120" x14ac:dyDescent="0.25">
      <c r="A12" s="9">
        <v>3</v>
      </c>
      <c r="B12" s="10" t="s">
        <v>4</v>
      </c>
      <c r="C12" s="69">
        <f>МОБ!C17+МОЦОМиД!C17+'Городская поликлиника'!C17</f>
        <v>1</v>
      </c>
      <c r="D12" s="70">
        <f>МОБ!D17+МОЦОМиД!D17+'Городская поликлиника'!D17</f>
        <v>118</v>
      </c>
      <c r="E12" s="77">
        <f t="shared" si="1"/>
        <v>8.4745759999999993E-3</v>
      </c>
      <c r="F12" s="70" t="s">
        <v>28</v>
      </c>
      <c r="G12" s="73">
        <f t="shared" si="2"/>
        <v>-38.135594580999999</v>
      </c>
      <c r="H12" s="70" t="s">
        <v>28</v>
      </c>
      <c r="I12" s="85">
        <v>0</v>
      </c>
      <c r="J12" s="70">
        <v>0</v>
      </c>
      <c r="K12" s="70">
        <v>0</v>
      </c>
      <c r="L12" s="336">
        <v>1</v>
      </c>
      <c r="M12" s="75"/>
      <c r="N12" s="69">
        <f>МОБ!N17+МОЦОМиД!N17+'Городская поликлиника'!N17</f>
        <v>2</v>
      </c>
      <c r="O12" s="70">
        <f>МОБ!O17+МОЦОМиД!O17+'Городская поликлиника'!O17</f>
        <v>146</v>
      </c>
      <c r="P12" s="73">
        <f t="shared" si="0"/>
        <v>1.369863E-2</v>
      </c>
      <c r="Q12" s="76">
        <v>0</v>
      </c>
      <c r="R12" s="75"/>
    </row>
    <row r="13" spans="1:23" ht="132" x14ac:dyDescent="0.25">
      <c r="A13" s="9">
        <v>4</v>
      </c>
      <c r="B13" s="10" t="s">
        <v>5</v>
      </c>
      <c r="C13" s="69">
        <f>МОБ!C18+МОЦОМиД!C18+'Городская поликлиника'!C18</f>
        <v>5</v>
      </c>
      <c r="D13" s="70">
        <f>МОБ!D18+МОЦОМиД!D18+'Городская поликлиника'!D18</f>
        <v>44</v>
      </c>
      <c r="E13" s="77">
        <f t="shared" si="1"/>
        <v>0.113636364</v>
      </c>
      <c r="F13" s="70" t="s">
        <v>28</v>
      </c>
      <c r="G13" s="73">
        <f t="shared" si="2"/>
        <v>-46.022727154000002</v>
      </c>
      <c r="H13" s="70" t="s">
        <v>28</v>
      </c>
      <c r="I13" s="76">
        <v>0</v>
      </c>
      <c r="J13" s="70">
        <v>0</v>
      </c>
      <c r="K13" s="70">
        <v>0</v>
      </c>
      <c r="L13" s="70">
        <v>1</v>
      </c>
      <c r="M13" s="75"/>
      <c r="N13" s="69">
        <f>МОБ!N18+МОЦОМиД!N18+'Городская поликлиника'!N18</f>
        <v>12</v>
      </c>
      <c r="O13" s="70">
        <f>МОБ!O18+МОЦОМиД!O18+'Городская поликлиника'!O18</f>
        <v>57</v>
      </c>
      <c r="P13" s="73">
        <f t="shared" si="0"/>
        <v>0.21052631599999999</v>
      </c>
      <c r="Q13" s="76">
        <v>0</v>
      </c>
      <c r="R13" s="75"/>
    </row>
    <row r="14" spans="1:23" ht="114.75" customHeight="1" x14ac:dyDescent="0.25">
      <c r="A14" s="9">
        <v>5</v>
      </c>
      <c r="B14" s="10" t="s">
        <v>6</v>
      </c>
      <c r="C14" s="69">
        <f>МОБ!C19+МОЦОМиД!C19+'Городская поликлиника'!C19</f>
        <v>79</v>
      </c>
      <c r="D14" s="70">
        <f>МОБ!D19+МОЦОМиД!D19+'Городская поликлиника'!D19</f>
        <v>236</v>
      </c>
      <c r="E14" s="77">
        <f t="shared" si="1"/>
        <v>0.33474576299999997</v>
      </c>
      <c r="F14" s="70" t="s">
        <v>28</v>
      </c>
      <c r="G14" s="73">
        <f t="shared" si="2"/>
        <v>-10.455508469</v>
      </c>
      <c r="H14" s="70" t="s">
        <v>28</v>
      </c>
      <c r="I14" s="76">
        <v>0</v>
      </c>
      <c r="J14" s="70">
        <v>0</v>
      </c>
      <c r="K14" s="70">
        <v>0</v>
      </c>
      <c r="L14" s="70">
        <v>1</v>
      </c>
      <c r="M14" s="75"/>
      <c r="N14" s="69">
        <f>МОБ!N19+МОЦОМиД!N19+'Городская поликлиника'!N19</f>
        <v>80</v>
      </c>
      <c r="O14" s="70">
        <f>МОБ!O19+МОЦОМиД!O19+'Городская поликлиника'!O19</f>
        <v>214</v>
      </c>
      <c r="P14" s="73">
        <f t="shared" si="0"/>
        <v>0.373831776</v>
      </c>
      <c r="Q14" s="76">
        <v>0</v>
      </c>
      <c r="R14" s="75"/>
    </row>
    <row r="15" spans="1:23" s="32" customFormat="1" ht="60" x14ac:dyDescent="0.25">
      <c r="A15" s="30">
        <v>6</v>
      </c>
      <c r="B15" s="31" t="s">
        <v>7</v>
      </c>
      <c r="C15" s="78">
        <f>МОБ!C20+МОЦОМиД!C20+'Городская поликлиника'!C20</f>
        <v>530</v>
      </c>
      <c r="D15" s="79">
        <f>МОБ!D20+МОЦОМиД!D20+'Городская поликлиника'!D20</f>
        <v>599</v>
      </c>
      <c r="E15" s="80">
        <f t="shared" si="1"/>
        <v>0.884808013</v>
      </c>
      <c r="F15" s="79">
        <v>0.95</v>
      </c>
      <c r="G15" s="79" t="s">
        <v>28</v>
      </c>
      <c r="H15" s="81">
        <f>IFERROR(ROUND(E15/F15,9),0)</f>
        <v>0.93137685599999998</v>
      </c>
      <c r="I15" s="82">
        <v>1</v>
      </c>
      <c r="J15" s="79" t="s">
        <v>28</v>
      </c>
      <c r="K15" s="79">
        <v>0.5</v>
      </c>
      <c r="L15" s="79">
        <v>1</v>
      </c>
      <c r="M15" s="83"/>
      <c r="N15" s="79" t="s">
        <v>28</v>
      </c>
      <c r="O15" s="79" t="s">
        <v>28</v>
      </c>
      <c r="P15" s="79" t="s">
        <v>28</v>
      </c>
      <c r="Q15" s="82">
        <v>0</v>
      </c>
      <c r="R15" s="83"/>
    </row>
    <row r="16" spans="1:23" ht="132" x14ac:dyDescent="0.25">
      <c r="A16" s="9">
        <v>7</v>
      </c>
      <c r="B16" s="10" t="s">
        <v>8</v>
      </c>
      <c r="C16" s="69">
        <f>МОБ!C21+МОЦОМиД!C21+'Городская поликлиника'!C21</f>
        <v>8459</v>
      </c>
      <c r="D16" s="70">
        <f>МОБ!D21+МОЦОМиД!D21+'Городская поликлиника'!D21</f>
        <v>12693</v>
      </c>
      <c r="E16" s="77">
        <f t="shared" si="1"/>
        <v>0.66643031600000002</v>
      </c>
      <c r="F16" s="70" t="s">
        <v>28</v>
      </c>
      <c r="G16" s="73">
        <f t="shared" si="2"/>
        <v>27.379868600999998</v>
      </c>
      <c r="H16" s="70" t="s">
        <v>28</v>
      </c>
      <c r="I16" s="76">
        <v>2</v>
      </c>
      <c r="J16" s="70">
        <v>1</v>
      </c>
      <c r="K16" s="70">
        <v>0</v>
      </c>
      <c r="L16" s="70">
        <v>1</v>
      </c>
      <c r="M16" s="75"/>
      <c r="N16" s="69">
        <f>МОБ!N21+МОЦОМиД!N21+'Городская поликлиника'!N21</f>
        <v>5292</v>
      </c>
      <c r="O16" s="70">
        <f>МОБ!O21+МОЦОМиД!O21+'Городская поликлиника'!O21</f>
        <v>10115</v>
      </c>
      <c r="P16" s="73">
        <f t="shared" ref="P16:P17" si="3">IFERROR(ROUND(N16/O16,9),0)</f>
        <v>0.523183391</v>
      </c>
      <c r="Q16" s="76">
        <v>2</v>
      </c>
      <c r="R16" s="75"/>
    </row>
    <row r="17" spans="1:18" ht="144" x14ac:dyDescent="0.25">
      <c r="A17" s="9">
        <v>8</v>
      </c>
      <c r="B17" s="10" t="s">
        <v>15</v>
      </c>
      <c r="C17" s="69">
        <f>МОБ!C22+МОЦОМиД!C22+'Городская поликлиника'!C22</f>
        <v>3816</v>
      </c>
      <c r="D17" s="70">
        <f>МОБ!D22+МОЦОМиД!D22+'Городская поликлиника'!D22</f>
        <v>12693</v>
      </c>
      <c r="E17" s="77">
        <f t="shared" si="1"/>
        <v>0.30063814700000002</v>
      </c>
      <c r="F17" s="70" t="s">
        <v>28</v>
      </c>
      <c r="G17" s="73">
        <f t="shared" si="2"/>
        <v>-24.429551201999999</v>
      </c>
      <c r="H17" s="70" t="s">
        <v>28</v>
      </c>
      <c r="I17" s="76">
        <v>1</v>
      </c>
      <c r="J17" s="70">
        <v>1</v>
      </c>
      <c r="K17" s="70">
        <v>0</v>
      </c>
      <c r="L17" s="70">
        <v>1</v>
      </c>
      <c r="M17" s="75"/>
      <c r="N17" s="69">
        <f>МОБ!N22+МОЦОМиД!N22+'Городская поликлиника'!N22</f>
        <v>4024</v>
      </c>
      <c r="O17" s="70">
        <f>МОБ!O22+МОЦОМиД!O22+'Городская поликлиника'!O22</f>
        <v>10115</v>
      </c>
      <c r="P17" s="73">
        <f t="shared" si="3"/>
        <v>0.39782501199999998</v>
      </c>
      <c r="Q17" s="76">
        <v>0.5</v>
      </c>
      <c r="R17" s="75"/>
    </row>
    <row r="18" spans="1:18" ht="108" x14ac:dyDescent="0.25">
      <c r="A18" s="9">
        <v>9</v>
      </c>
      <c r="B18" s="10" t="s">
        <v>14</v>
      </c>
      <c r="C18" s="69">
        <f>МОБ!C23+МОЦОМиД!C23+'Городская поликлиника'!C23</f>
        <v>244</v>
      </c>
      <c r="D18" s="70">
        <f>МОБ!D23+МОЦОМиД!D23+'Городская поликлиника'!D23</f>
        <v>735</v>
      </c>
      <c r="E18" s="77">
        <f t="shared" si="1"/>
        <v>0.33197278899999999</v>
      </c>
      <c r="F18" s="70">
        <v>0.8</v>
      </c>
      <c r="G18" s="70" t="s">
        <v>28</v>
      </c>
      <c r="H18" s="70">
        <f>E18/F18</f>
        <v>0.41496598624999997</v>
      </c>
      <c r="I18" s="76">
        <v>0.5</v>
      </c>
      <c r="J18" s="70" t="s">
        <v>28</v>
      </c>
      <c r="K18" s="70">
        <v>1</v>
      </c>
      <c r="L18" s="70">
        <v>1</v>
      </c>
      <c r="M18" s="75"/>
      <c r="N18" s="70" t="s">
        <v>28</v>
      </c>
      <c r="O18" s="70" t="s">
        <v>28</v>
      </c>
      <c r="P18" s="70" t="s">
        <v>28</v>
      </c>
      <c r="Q18" s="76">
        <v>0.5</v>
      </c>
      <c r="R18" s="75"/>
    </row>
    <row r="19" spans="1:18" ht="120" x14ac:dyDescent="0.25">
      <c r="A19" s="9">
        <v>10</v>
      </c>
      <c r="B19" s="10" t="s">
        <v>13</v>
      </c>
      <c r="C19" s="69">
        <f>МОБ!C24+МОЦОМиД!C24+'Городская поликлиника'!C24</f>
        <v>9</v>
      </c>
      <c r="D19" s="70">
        <f>МОБ!D24+МОЦОМиД!D24+'Городская поликлиника'!D24</f>
        <v>44</v>
      </c>
      <c r="E19" s="77">
        <f t="shared" si="1"/>
        <v>0.20454545499999999</v>
      </c>
      <c r="F19" s="70">
        <v>0.8</v>
      </c>
      <c r="G19" s="70" t="s">
        <v>28</v>
      </c>
      <c r="H19" s="70">
        <f t="shared" ref="H19:H20" si="4">E19/F19</f>
        <v>0.25568181874999996</v>
      </c>
      <c r="I19" s="76">
        <v>0.5</v>
      </c>
      <c r="J19" s="70" t="s">
        <v>28</v>
      </c>
      <c r="K19" s="70">
        <v>1</v>
      </c>
      <c r="L19" s="70">
        <v>1</v>
      </c>
      <c r="M19" s="75"/>
      <c r="N19" s="70" t="s">
        <v>28</v>
      </c>
      <c r="O19" s="70" t="s">
        <v>28</v>
      </c>
      <c r="P19" s="70" t="s">
        <v>28</v>
      </c>
      <c r="Q19" s="76">
        <v>0.5</v>
      </c>
      <c r="R19" s="75"/>
    </row>
    <row r="20" spans="1:18" ht="96" x14ac:dyDescent="0.25">
      <c r="A20" s="9">
        <v>11</v>
      </c>
      <c r="B20" s="10" t="s">
        <v>12</v>
      </c>
      <c r="C20" s="69">
        <f>МОБ!C25+МОЦОМиД!C25+'Городская поликлиника'!C25</f>
        <v>189</v>
      </c>
      <c r="D20" s="70">
        <f>МОБ!D25+МОЦОМиД!D25+'Городская поликлиника'!D25</f>
        <v>236</v>
      </c>
      <c r="E20" s="77">
        <f t="shared" si="1"/>
        <v>0.80084745800000001</v>
      </c>
      <c r="F20" s="70">
        <v>0.8</v>
      </c>
      <c r="G20" s="70" t="s">
        <v>28</v>
      </c>
      <c r="H20" s="341">
        <f t="shared" si="4"/>
        <v>1.0010593225</v>
      </c>
      <c r="I20" s="76">
        <v>2</v>
      </c>
      <c r="J20" s="70" t="s">
        <v>28</v>
      </c>
      <c r="K20" s="70">
        <v>0</v>
      </c>
      <c r="L20" s="70">
        <v>1</v>
      </c>
      <c r="M20" s="75"/>
      <c r="N20" s="70" t="s">
        <v>28</v>
      </c>
      <c r="O20" s="70" t="s">
        <v>28</v>
      </c>
      <c r="P20" s="70" t="s">
        <v>28</v>
      </c>
      <c r="Q20" s="76">
        <v>0.5</v>
      </c>
      <c r="R20" s="75"/>
    </row>
    <row r="21" spans="1:18" ht="132" x14ac:dyDescent="0.25">
      <c r="A21" s="9">
        <v>12</v>
      </c>
      <c r="B21" s="10" t="s">
        <v>11</v>
      </c>
      <c r="C21" s="69">
        <f>МОБ!C26+МОЦОМиД!C26+'Городская поликлиника'!C26</f>
        <v>226</v>
      </c>
      <c r="D21" s="70">
        <f>МОБ!D26+МОЦОМиД!D26+'Городская поликлиника'!D26</f>
        <v>41102</v>
      </c>
      <c r="E21" s="77">
        <f t="shared" si="1"/>
        <v>5.4985160000000002E-3</v>
      </c>
      <c r="F21" s="70" t="s">
        <v>28</v>
      </c>
      <c r="G21" s="73">
        <f t="shared" ref="G21:G23" si="5">IFERROR(ROUND((E21/P21*100-100),9),0)</f>
        <v>-9.5999969749999998</v>
      </c>
      <c r="H21" s="70" t="s">
        <v>28</v>
      </c>
      <c r="I21" s="76">
        <v>0.5</v>
      </c>
      <c r="J21" s="70">
        <v>0</v>
      </c>
      <c r="K21" s="70">
        <v>1</v>
      </c>
      <c r="L21" s="70">
        <v>1</v>
      </c>
      <c r="M21" s="75"/>
      <c r="N21" s="69">
        <f>МОБ!N26+МОЦОМиД!N26+'Городская поликлиника'!N26</f>
        <v>250</v>
      </c>
      <c r="O21" s="70">
        <f>МОБ!O26+МОЦОМиД!O26+'Городская поликлиника'!O26</f>
        <v>41102</v>
      </c>
      <c r="P21" s="73">
        <f t="shared" ref="P21:P22" si="6">IFERROR(ROUND(N21/O21,9),0)</f>
        <v>6.0824290000000003E-3</v>
      </c>
      <c r="Q21" s="76">
        <v>0</v>
      </c>
      <c r="R21" s="75"/>
    </row>
    <row r="22" spans="1:18" ht="118.5" customHeight="1" x14ac:dyDescent="0.25">
      <c r="A22" s="9">
        <v>13</v>
      </c>
      <c r="B22" s="10" t="s">
        <v>10</v>
      </c>
      <c r="C22" s="69">
        <f>МОБ!C27+МОЦОМиД!C27+'Городская поликлиника'!C27</f>
        <v>663</v>
      </c>
      <c r="D22" s="70">
        <f>МОБ!D27+МОЦОМиД!D27+'Городская поликлиника'!D27</f>
        <v>1215</v>
      </c>
      <c r="E22" s="77">
        <f t="shared" si="1"/>
        <v>0.54567901200000002</v>
      </c>
      <c r="F22" s="70" t="s">
        <v>28</v>
      </c>
      <c r="G22" s="73">
        <f t="shared" si="5"/>
        <v>-7.8847075430000002</v>
      </c>
      <c r="H22" s="70" t="s">
        <v>28</v>
      </c>
      <c r="I22" s="76">
        <v>2</v>
      </c>
      <c r="J22" s="70">
        <v>1</v>
      </c>
      <c r="K22" s="70">
        <v>0</v>
      </c>
      <c r="L22" s="70">
        <v>1</v>
      </c>
      <c r="M22" s="75"/>
      <c r="N22" s="69">
        <f>МОБ!N27+МОЦОМиД!N27+'Городская поликлиника'!N27</f>
        <v>747</v>
      </c>
      <c r="O22" s="70">
        <f>МОБ!O27+МОЦОМиД!O27+'Городская поликлиника'!O27</f>
        <v>1261</v>
      </c>
      <c r="P22" s="73">
        <f t="shared" si="6"/>
        <v>0.59238699399999994</v>
      </c>
      <c r="Q22" s="76">
        <v>1</v>
      </c>
      <c r="R22" s="75"/>
    </row>
    <row r="23" spans="1:18" ht="117" customHeight="1" x14ac:dyDescent="0.25">
      <c r="A23" s="9">
        <v>14</v>
      </c>
      <c r="B23" s="12" t="s">
        <v>9</v>
      </c>
      <c r="C23" s="69">
        <f>МОБ!C28+МОЦОМиД!C28+'Городская поликлиника'!C28</f>
        <v>729</v>
      </c>
      <c r="D23" s="70">
        <f>МОБ!D28+МОЦОМиД!D28+'Городская поликлиника'!D28</f>
        <v>3302</v>
      </c>
      <c r="E23" s="77">
        <f>IFERROR(ROUND(C23/D23,9),0)</f>
        <v>0.22077528799999999</v>
      </c>
      <c r="F23" s="70" t="s">
        <v>28</v>
      </c>
      <c r="G23" s="73">
        <f t="shared" si="5"/>
        <v>16.603255141000002</v>
      </c>
      <c r="H23" s="70" t="s">
        <v>28</v>
      </c>
      <c r="I23" s="76">
        <v>0</v>
      </c>
      <c r="J23" s="70">
        <v>0</v>
      </c>
      <c r="K23" s="70">
        <v>0</v>
      </c>
      <c r="L23" s="70">
        <v>1</v>
      </c>
      <c r="M23" s="75"/>
      <c r="N23" s="69">
        <f>МОБ!N28+МОЦОМиД!N28+'Городская поликлиника'!N28</f>
        <v>547</v>
      </c>
      <c r="O23" s="70">
        <f>МОБ!O28+МОЦОМиД!O28+'Городская поликлиника'!O28</f>
        <v>2889</v>
      </c>
      <c r="P23" s="73">
        <f>IFERROR(ROUND(N23/O23,9),0)</f>
        <v>0.18933887199999999</v>
      </c>
      <c r="Q23" s="76">
        <v>1</v>
      </c>
      <c r="R23" s="75"/>
    </row>
    <row r="24" spans="1:18" ht="18.75" x14ac:dyDescent="0.25">
      <c r="A24" s="13"/>
      <c r="B24" s="27"/>
      <c r="C24" s="379" t="s">
        <v>57</v>
      </c>
      <c r="D24" s="379"/>
      <c r="E24" s="379"/>
      <c r="F24" s="379"/>
      <c r="G24" s="379"/>
      <c r="H24" s="379"/>
      <c r="I24" s="379"/>
      <c r="J24" s="379"/>
      <c r="K24" s="379"/>
      <c r="L24" s="379"/>
      <c r="M24" s="379"/>
      <c r="N24" s="379"/>
      <c r="O24" s="379"/>
      <c r="P24" s="379"/>
      <c r="Q24" s="379"/>
      <c r="R24" s="380"/>
    </row>
    <row r="25" spans="1:18" s="32" customFormat="1" ht="36" x14ac:dyDescent="0.25">
      <c r="A25" s="30">
        <v>15</v>
      </c>
      <c r="B25" s="33" t="s">
        <v>16</v>
      </c>
      <c r="C25" s="78">
        <f>МОБ!C30+МОЦОМиД!C30+'Городская поликлиника'!C30</f>
        <v>16665</v>
      </c>
      <c r="D25" s="79">
        <f>МОБ!D30+МОЦОМиД!D30+'Городская поликлиника'!D30</f>
        <v>16171</v>
      </c>
      <c r="E25" s="81">
        <f t="shared" ref="E25:E30" si="7">IFERROR(ROUND(C25/D25,9),0)</f>
        <v>1.0305485130000001</v>
      </c>
      <c r="F25" s="79">
        <v>0.95</v>
      </c>
      <c r="G25" s="79" t="s">
        <v>28</v>
      </c>
      <c r="H25" s="79">
        <f t="shared" ref="H25:H30" si="8">IFERROR(ROUND(E25/F25,9),0)</f>
        <v>1.084787908</v>
      </c>
      <c r="I25" s="82">
        <v>1</v>
      </c>
      <c r="J25" s="79">
        <v>1</v>
      </c>
      <c r="K25" s="79">
        <v>0</v>
      </c>
      <c r="L25" s="79">
        <v>1</v>
      </c>
      <c r="M25" s="83"/>
      <c r="N25" s="79" t="s">
        <v>28</v>
      </c>
      <c r="O25" s="79" t="s">
        <v>28</v>
      </c>
      <c r="P25" s="79" t="s">
        <v>28</v>
      </c>
      <c r="Q25" s="82">
        <v>0</v>
      </c>
      <c r="R25" s="83"/>
    </row>
    <row r="26" spans="1:18" ht="108" x14ac:dyDescent="0.25">
      <c r="A26" s="9">
        <v>16</v>
      </c>
      <c r="B26" s="12" t="s">
        <v>17</v>
      </c>
      <c r="C26" s="69">
        <f>МОБ!C31+МОЦОМиД!C31+'Городская поликлиника'!C31</f>
        <v>144</v>
      </c>
      <c r="D26" s="70">
        <f>МОБ!D31+МОЦОМиД!D31+'Городская поликлиника'!D31</f>
        <v>212</v>
      </c>
      <c r="E26" s="77">
        <f t="shared" si="7"/>
        <v>0.67924528299999998</v>
      </c>
      <c r="F26" s="70">
        <v>0.7</v>
      </c>
      <c r="G26" s="70" t="s">
        <v>28</v>
      </c>
      <c r="H26" s="73">
        <f t="shared" si="8"/>
        <v>0.97035040400000006</v>
      </c>
      <c r="I26" s="76">
        <v>0.5</v>
      </c>
      <c r="J26" s="70">
        <v>0</v>
      </c>
      <c r="K26" s="70">
        <v>1</v>
      </c>
      <c r="L26" s="70">
        <v>1</v>
      </c>
      <c r="M26" s="75"/>
      <c r="N26" s="70" t="s">
        <v>28</v>
      </c>
      <c r="O26" s="70" t="s">
        <v>28</v>
      </c>
      <c r="P26" s="70" t="s">
        <v>28</v>
      </c>
      <c r="Q26" s="76">
        <v>0.5</v>
      </c>
      <c r="R26" s="75"/>
    </row>
    <row r="27" spans="1:18" ht="96" x14ac:dyDescent="0.25">
      <c r="A27" s="9">
        <v>17</v>
      </c>
      <c r="B27" s="12" t="s">
        <v>18</v>
      </c>
      <c r="C27" s="69">
        <f>МОБ!C32+МОЦОМиД!C32+'Городская поликлиника'!C32</f>
        <v>70</v>
      </c>
      <c r="D27" s="70">
        <f>МОБ!D32+МОЦОМиД!D32+'Городская поликлиника'!D32</f>
        <v>281</v>
      </c>
      <c r="E27" s="77">
        <f t="shared" si="7"/>
        <v>0.24911032</v>
      </c>
      <c r="F27" s="70">
        <v>0.7</v>
      </c>
      <c r="G27" s="70" t="s">
        <v>28</v>
      </c>
      <c r="H27" s="73">
        <f t="shared" si="8"/>
        <v>0.35587188600000003</v>
      </c>
      <c r="I27" s="76">
        <v>0.5</v>
      </c>
      <c r="J27" s="70">
        <v>0</v>
      </c>
      <c r="K27" s="70">
        <v>1</v>
      </c>
      <c r="L27" s="70">
        <v>1</v>
      </c>
      <c r="M27" s="75"/>
      <c r="N27" s="70" t="s">
        <v>28</v>
      </c>
      <c r="O27" s="70" t="s">
        <v>28</v>
      </c>
      <c r="P27" s="70" t="s">
        <v>28</v>
      </c>
      <c r="Q27" s="76">
        <v>0.5</v>
      </c>
      <c r="R27" s="75"/>
    </row>
    <row r="28" spans="1:18" ht="96" x14ac:dyDescent="0.25">
      <c r="A28" s="9">
        <v>18</v>
      </c>
      <c r="B28" s="12" t="s">
        <v>19</v>
      </c>
      <c r="C28" s="69">
        <f>МОБ!C33+МОЦОМиД!C33+'Городская поликлиника'!C33</f>
        <v>681</v>
      </c>
      <c r="D28" s="70">
        <f>МОБ!D33+МОЦОМиД!D33+'Городская поликлиника'!D33</f>
        <v>2770</v>
      </c>
      <c r="E28" s="77">
        <f t="shared" si="7"/>
        <v>0.24584837500000001</v>
      </c>
      <c r="F28" s="70">
        <v>0.7</v>
      </c>
      <c r="G28" s="70" t="s">
        <v>28</v>
      </c>
      <c r="H28" s="73">
        <f t="shared" si="8"/>
        <v>0.35121196399999999</v>
      </c>
      <c r="I28" s="76">
        <v>0.5</v>
      </c>
      <c r="J28" s="70">
        <v>0</v>
      </c>
      <c r="K28" s="70">
        <v>1</v>
      </c>
      <c r="L28" s="70">
        <v>1</v>
      </c>
      <c r="M28" s="75"/>
      <c r="N28" s="70" t="s">
        <v>28</v>
      </c>
      <c r="O28" s="70" t="s">
        <v>28</v>
      </c>
      <c r="P28" s="70" t="s">
        <v>28</v>
      </c>
      <c r="Q28" s="76">
        <v>0.5</v>
      </c>
      <c r="R28" s="75"/>
    </row>
    <row r="29" spans="1:18" ht="96" x14ac:dyDescent="0.25">
      <c r="A29" s="9">
        <v>19</v>
      </c>
      <c r="B29" s="12" t="s">
        <v>20</v>
      </c>
      <c r="C29" s="69">
        <f>МОБ!C34+МОЦОМиД!C34+'Городская поликлиника'!C34</f>
        <v>73</v>
      </c>
      <c r="D29" s="70">
        <f>МОБ!D34+МОЦОМиД!D34+'Городская поликлиника'!D34</f>
        <v>104</v>
      </c>
      <c r="E29" s="77">
        <f t="shared" si="7"/>
        <v>0.70192307700000001</v>
      </c>
      <c r="F29" s="70">
        <v>0.7</v>
      </c>
      <c r="G29" s="70" t="s">
        <v>28</v>
      </c>
      <c r="H29" s="73">
        <f t="shared" si="8"/>
        <v>1.0027472529999999</v>
      </c>
      <c r="I29" s="76">
        <v>2</v>
      </c>
      <c r="J29" s="70">
        <v>1</v>
      </c>
      <c r="K29" s="70">
        <v>0</v>
      </c>
      <c r="L29" s="70">
        <v>1</v>
      </c>
      <c r="M29" s="75"/>
      <c r="N29" s="70" t="s">
        <v>28</v>
      </c>
      <c r="O29" s="70" t="s">
        <v>28</v>
      </c>
      <c r="P29" s="70" t="s">
        <v>28</v>
      </c>
      <c r="Q29" s="76">
        <v>0.5</v>
      </c>
      <c r="R29" s="75"/>
    </row>
    <row r="30" spans="1:18" ht="132" x14ac:dyDescent="0.25">
      <c r="A30" s="9">
        <v>20</v>
      </c>
      <c r="B30" s="12" t="s">
        <v>21</v>
      </c>
      <c r="C30" s="69">
        <f>МОБ!C35+МОЦОМиД!C35+'Городская поликлиника'!C35</f>
        <v>293</v>
      </c>
      <c r="D30" s="70">
        <f>МОБ!D35+МОЦОМиД!D35+'Городская поликлиника'!D35</f>
        <v>364</v>
      </c>
      <c r="E30" s="77">
        <f t="shared" si="7"/>
        <v>0.80494505500000002</v>
      </c>
      <c r="F30" s="70">
        <v>0.7</v>
      </c>
      <c r="G30" s="70" t="s">
        <v>28</v>
      </c>
      <c r="H30" s="73">
        <f t="shared" si="8"/>
        <v>1.149921507</v>
      </c>
      <c r="I30" s="76">
        <v>1</v>
      </c>
      <c r="J30" s="70">
        <v>1</v>
      </c>
      <c r="K30" s="70">
        <v>0</v>
      </c>
      <c r="L30" s="70">
        <v>1</v>
      </c>
      <c r="M30" s="75"/>
      <c r="N30" s="70" t="s">
        <v>28</v>
      </c>
      <c r="O30" s="70" t="s">
        <v>28</v>
      </c>
      <c r="P30" s="70" t="s">
        <v>28</v>
      </c>
      <c r="Q30" s="76">
        <v>0.5</v>
      </c>
      <c r="R30" s="75"/>
    </row>
    <row r="31" spans="1:18" ht="18.75" x14ac:dyDescent="0.25">
      <c r="A31" s="13"/>
      <c r="B31" s="27"/>
      <c r="C31" s="379" t="s">
        <v>58</v>
      </c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79"/>
      <c r="O31" s="379"/>
      <c r="P31" s="379"/>
      <c r="Q31" s="379"/>
      <c r="R31" s="380"/>
    </row>
    <row r="32" spans="1:18" s="32" customFormat="1" ht="60" x14ac:dyDescent="0.25">
      <c r="A32" s="30">
        <v>21</v>
      </c>
      <c r="B32" s="31" t="s">
        <v>22</v>
      </c>
      <c r="C32" s="78">
        <f>МОБ!C37+МОЦОМиД!C37+'Городская поликлиника'!C37</f>
        <v>38</v>
      </c>
      <c r="D32" s="79">
        <f>МОБ!D37+МОЦОМиД!D37+'Городская поликлиника'!D37</f>
        <v>194</v>
      </c>
      <c r="E32" s="80">
        <f t="shared" ref="E32:E36" si="9">IFERROR(ROUND(C32/D32,9),0)</f>
        <v>0.19587628900000001</v>
      </c>
      <c r="F32" s="79" t="s">
        <v>28</v>
      </c>
      <c r="G32" s="81">
        <f t="shared" ref="G32:G35" si="10">IFERROR(ROUND((E32/P32*100-100),9),0)</f>
        <v>58.333333871999997</v>
      </c>
      <c r="H32" s="79" t="s">
        <v>28</v>
      </c>
      <c r="I32" s="82">
        <v>1</v>
      </c>
      <c r="J32" s="79">
        <v>1</v>
      </c>
      <c r="K32" s="79">
        <v>0</v>
      </c>
      <c r="L32" s="79">
        <v>1</v>
      </c>
      <c r="M32" s="83"/>
      <c r="N32" s="78">
        <f>МОБ!N37+МОЦОМиД!N37+'Городская поликлиника'!N37</f>
        <v>24</v>
      </c>
      <c r="O32" s="79">
        <f>МОБ!O37+МОЦОМиД!O37+'Городская поликлиника'!O37</f>
        <v>194</v>
      </c>
      <c r="P32" s="81">
        <f>IFERROR(ROUND(N32/O32,9),0)</f>
        <v>0.12371134</v>
      </c>
      <c r="Q32" s="82">
        <v>0</v>
      </c>
      <c r="R32" s="83"/>
    </row>
    <row r="33" spans="1:18" s="32" customFormat="1" ht="84" x14ac:dyDescent="0.25">
      <c r="A33" s="30">
        <v>22</v>
      </c>
      <c r="B33" s="31" t="s">
        <v>23</v>
      </c>
      <c r="C33" s="78">
        <f>МОБ!C38+МОЦОМиД!C38+'Городская поликлиника'!C38</f>
        <v>0</v>
      </c>
      <c r="D33" s="79">
        <f>МОБ!D38+МОЦОМиД!D38+'Городская поликлиника'!D38</f>
        <v>591</v>
      </c>
      <c r="E33" s="80">
        <f t="shared" si="9"/>
        <v>0</v>
      </c>
      <c r="F33" s="79">
        <v>0.1</v>
      </c>
      <c r="G33" s="79" t="s">
        <v>28</v>
      </c>
      <c r="H33" s="81">
        <f t="shared" ref="H33" si="11">IFERROR(ROUND(E33/F33,9),0)</f>
        <v>0</v>
      </c>
      <c r="I33" s="82">
        <v>0</v>
      </c>
      <c r="J33" s="79" t="s">
        <v>28</v>
      </c>
      <c r="K33" s="79">
        <v>0</v>
      </c>
      <c r="L33" s="79">
        <v>1</v>
      </c>
      <c r="M33" s="83"/>
      <c r="N33" s="79" t="s">
        <v>28</v>
      </c>
      <c r="O33" s="79" t="s">
        <v>28</v>
      </c>
      <c r="P33" s="79" t="s">
        <v>28</v>
      </c>
      <c r="Q33" s="82">
        <v>0</v>
      </c>
      <c r="R33" s="83"/>
    </row>
    <row r="34" spans="1:18" ht="108" x14ac:dyDescent="0.25">
      <c r="A34" s="9">
        <v>23</v>
      </c>
      <c r="B34" s="10" t="s">
        <v>24</v>
      </c>
      <c r="C34" s="69">
        <f>МОБ!C39+МОЦОМиД!C39+'Городская поликлиника'!C39</f>
        <v>0</v>
      </c>
      <c r="D34" s="70">
        <f>МОБ!D39+МОЦОМиД!D39+'Городская поликлиника'!D39</f>
        <v>3</v>
      </c>
      <c r="E34" s="77">
        <f t="shared" si="9"/>
        <v>0</v>
      </c>
      <c r="F34" s="70" t="s">
        <v>28</v>
      </c>
      <c r="G34" s="73">
        <f t="shared" si="10"/>
        <v>0</v>
      </c>
      <c r="H34" s="70" t="s">
        <v>28</v>
      </c>
      <c r="I34" s="76">
        <v>0</v>
      </c>
      <c r="J34" s="70">
        <v>0</v>
      </c>
      <c r="K34" s="70">
        <v>0</v>
      </c>
      <c r="L34" s="70">
        <v>1</v>
      </c>
      <c r="M34" s="75"/>
      <c r="N34" s="69">
        <f>МОБ!N39+МОЦОМиД!N39+'Городская поликлиника'!N39</f>
        <v>0</v>
      </c>
      <c r="O34" s="336">
        <f>МОБ!O39+МОЦОМиД!O39+'Городская поликлиника'!O39</f>
        <v>6</v>
      </c>
      <c r="P34" s="73">
        <f>IFERROR(ROUND(N34/O34,9),0)</f>
        <v>0</v>
      </c>
      <c r="Q34" s="76">
        <v>0</v>
      </c>
      <c r="R34" s="75"/>
    </row>
    <row r="35" spans="1:18" ht="108" x14ac:dyDescent="0.25">
      <c r="A35" s="9">
        <v>24</v>
      </c>
      <c r="B35" s="10" t="s">
        <v>25</v>
      </c>
      <c r="C35" s="69">
        <f>МОБ!C40+МОЦОМиД!C40+'Городская поликлиника'!C40</f>
        <v>0</v>
      </c>
      <c r="D35" s="70">
        <f>МОБ!D40+МОЦОМиД!D40+'Городская поликлиника'!D40</f>
        <v>21</v>
      </c>
      <c r="E35" s="77">
        <f t="shared" si="9"/>
        <v>0</v>
      </c>
      <c r="F35" s="70" t="s">
        <v>28</v>
      </c>
      <c r="G35" s="73">
        <f t="shared" si="10"/>
        <v>0</v>
      </c>
      <c r="H35" s="70" t="s">
        <v>28</v>
      </c>
      <c r="I35" s="76">
        <v>0</v>
      </c>
      <c r="J35" s="70">
        <v>0</v>
      </c>
      <c r="K35" s="70">
        <v>0</v>
      </c>
      <c r="L35" s="70">
        <v>1</v>
      </c>
      <c r="M35" s="75"/>
      <c r="N35" s="69">
        <f>МОБ!N40+МОЦОМиД!N40+'Городская поликлиника'!N40</f>
        <v>0</v>
      </c>
      <c r="O35" s="336">
        <f>МОБ!O40+МОЦОМиД!O40+'Городская поликлиника'!O40</f>
        <v>16</v>
      </c>
      <c r="P35" s="73">
        <f>IFERROR(ROUND(N35/O35,9),0)</f>
        <v>0</v>
      </c>
      <c r="Q35" s="76">
        <v>0</v>
      </c>
      <c r="R35" s="75"/>
    </row>
    <row r="36" spans="1:18" s="32" customFormat="1" ht="84" x14ac:dyDescent="0.25">
      <c r="A36" s="30">
        <v>25</v>
      </c>
      <c r="B36" s="31" t="s">
        <v>26</v>
      </c>
      <c r="C36" s="78">
        <f>МОБ!C41+МОЦОМиД!C41+'Городская поликлиника'!C41</f>
        <v>940</v>
      </c>
      <c r="D36" s="79">
        <f>МОБ!D41+МОЦОМиД!D41+'Городская поликлиника'!D41</f>
        <v>969</v>
      </c>
      <c r="E36" s="80">
        <f t="shared" si="9"/>
        <v>0.97007223899999995</v>
      </c>
      <c r="F36" s="79">
        <v>0.89</v>
      </c>
      <c r="G36" s="79" t="s">
        <v>28</v>
      </c>
      <c r="H36" s="81">
        <f t="shared" ref="H36:H38" si="12">IFERROR(ROUND(E36/F36,9),0)</f>
        <v>1.0899688080000001</v>
      </c>
      <c r="I36" s="82">
        <v>2</v>
      </c>
      <c r="J36" s="79" t="s">
        <v>28</v>
      </c>
      <c r="K36" s="79">
        <v>0</v>
      </c>
      <c r="L36" s="79">
        <v>1</v>
      </c>
      <c r="M36" s="83"/>
      <c r="N36" s="79" t="s">
        <v>28</v>
      </c>
      <c r="O36" s="79" t="s">
        <v>28</v>
      </c>
      <c r="P36" s="79" t="s">
        <v>28</v>
      </c>
      <c r="Q36" s="82">
        <v>2</v>
      </c>
      <c r="R36" s="83"/>
    </row>
    <row r="37" spans="1:18" ht="18.75" x14ac:dyDescent="0.25">
      <c r="A37" s="15"/>
      <c r="B37" s="16"/>
      <c r="C37" s="379" t="s">
        <v>59</v>
      </c>
      <c r="D37" s="379"/>
      <c r="E37" s="379"/>
      <c r="F37" s="379"/>
      <c r="G37" s="379"/>
      <c r="H37" s="379"/>
      <c r="I37" s="379"/>
      <c r="J37" s="379"/>
      <c r="K37" s="379"/>
      <c r="L37" s="379"/>
      <c r="M37" s="379"/>
      <c r="N37" s="379"/>
      <c r="O37" s="379"/>
      <c r="P37" s="379"/>
      <c r="Q37" s="379"/>
      <c r="R37" s="380"/>
    </row>
    <row r="38" spans="1:18" s="37" customFormat="1" ht="36" x14ac:dyDescent="0.25">
      <c r="A38" s="34">
        <v>26</v>
      </c>
      <c r="B38" s="35" t="s">
        <v>40</v>
      </c>
      <c r="C38" s="67">
        <f>МОБ!C43+МОЦОМиД!C43+'Городская поликлиника'!C43</f>
        <v>287796</v>
      </c>
      <c r="D38" s="62">
        <f>МОБ!D43+МОЦОМиД!D43+'Городская поликлиника'!D43</f>
        <v>312752</v>
      </c>
      <c r="E38" s="84">
        <f>IFERROR(ROUND(C38/D38,9),0)</f>
        <v>0.920205147</v>
      </c>
      <c r="F38" s="62">
        <v>1</v>
      </c>
      <c r="G38" s="62" t="s">
        <v>28</v>
      </c>
      <c r="H38" s="63">
        <f t="shared" si="12"/>
        <v>0.920205147</v>
      </c>
      <c r="I38" s="68">
        <v>1</v>
      </c>
      <c r="J38" s="62">
        <v>0</v>
      </c>
      <c r="K38" s="62">
        <v>1</v>
      </c>
      <c r="L38" s="62">
        <v>1</v>
      </c>
      <c r="M38" s="66"/>
      <c r="N38" s="62" t="s">
        <v>28</v>
      </c>
      <c r="O38" s="62" t="s">
        <v>28</v>
      </c>
      <c r="P38" s="62" t="s">
        <v>28</v>
      </c>
      <c r="Q38" s="68">
        <v>1</v>
      </c>
      <c r="R38" s="66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376" t="s">
        <v>37</v>
      </c>
      <c r="B48" s="376"/>
      <c r="C48" s="376"/>
      <c r="D48" s="376"/>
      <c r="E48" s="376"/>
      <c r="F48" s="376"/>
      <c r="G48" s="376"/>
      <c r="H48" s="376"/>
      <c r="I48" s="376"/>
      <c r="J48" s="376"/>
      <c r="K48" s="376"/>
      <c r="L48" s="376"/>
      <c r="M48" s="376"/>
      <c r="N48" s="376"/>
      <c r="O48" s="376"/>
      <c r="P48" s="376"/>
      <c r="Q48" s="376"/>
      <c r="R48" s="376"/>
    </row>
    <row r="49" spans="1:18" ht="19.5" customHeight="1" x14ac:dyDescent="0.25">
      <c r="A49" s="373" t="s">
        <v>38</v>
      </c>
      <c r="B49" s="374"/>
      <c r="C49" s="374"/>
      <c r="D49" s="374"/>
      <c r="E49" s="374"/>
      <c r="F49" s="374"/>
      <c r="G49" s="374"/>
      <c r="H49" s="374"/>
      <c r="I49" s="374"/>
      <c r="J49" s="374"/>
      <c r="K49" s="374"/>
      <c r="L49" s="374"/>
      <c r="M49" s="374"/>
      <c r="N49" s="374"/>
      <c r="O49" s="374"/>
      <c r="P49" s="374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  <row r="52" spans="1:18" x14ac:dyDescent="0.25">
      <c r="C52" s="3">
        <f>SUM(C10:C38)</f>
        <v>350302</v>
      </c>
      <c r="D52" s="3">
        <f t="shared" ref="D52:R52" si="13">SUM(D10:D38)</f>
        <v>629754</v>
      </c>
      <c r="E52" s="3">
        <f t="shared" si="13"/>
        <v>10.593661141999998</v>
      </c>
      <c r="F52" s="3">
        <f t="shared" si="13"/>
        <v>9.7900000000000009</v>
      </c>
      <c r="G52" s="355">
        <f t="shared" si="13"/>
        <v>50.991047988999995</v>
      </c>
      <c r="H52" s="3">
        <f t="shared" si="13"/>
        <v>9.5281488605</v>
      </c>
      <c r="I52" s="3">
        <f t="shared" si="13"/>
        <v>19.5</v>
      </c>
      <c r="J52" s="3">
        <f t="shared" si="13"/>
        <v>7</v>
      </c>
      <c r="K52" s="3">
        <f t="shared" si="13"/>
        <v>8.5</v>
      </c>
      <c r="L52" s="3">
        <f t="shared" si="13"/>
        <v>26</v>
      </c>
      <c r="M52" s="3">
        <f t="shared" si="13"/>
        <v>0</v>
      </c>
      <c r="N52" s="3">
        <f t="shared" si="13"/>
        <v>23972</v>
      </c>
      <c r="O52" s="3">
        <f t="shared" si="13"/>
        <v>260827</v>
      </c>
      <c r="P52" s="3">
        <f t="shared" si="13"/>
        <v>2.7745354349999998</v>
      </c>
      <c r="Q52" s="3">
        <f t="shared" si="13"/>
        <v>14.5</v>
      </c>
      <c r="R52" s="3">
        <f t="shared" si="13"/>
        <v>0</v>
      </c>
    </row>
    <row r="53" spans="1:18" x14ac:dyDescent="0.25">
      <c r="C53" s="350">
        <v>350302</v>
      </c>
      <c r="D53" s="351">
        <v>629754</v>
      </c>
      <c r="E53">
        <v>10.593661144</v>
      </c>
      <c r="F53">
        <v>9.7899999999999991</v>
      </c>
      <c r="G53" s="356">
        <v>50.991044854999998</v>
      </c>
      <c r="H53">
        <v>9.5281488650000004</v>
      </c>
      <c r="I53" s="58">
        <v>19.5</v>
      </c>
      <c r="J53">
        <v>7</v>
      </c>
      <c r="K53">
        <v>9</v>
      </c>
      <c r="L53">
        <v>26</v>
      </c>
      <c r="M53">
        <v>0</v>
      </c>
      <c r="N53" s="351">
        <v>23972</v>
      </c>
      <c r="O53" s="351">
        <v>260827</v>
      </c>
      <c r="P53">
        <v>2.7745354369999999</v>
      </c>
      <c r="Q53" s="58">
        <v>14.5</v>
      </c>
    </row>
    <row r="54" spans="1:18" x14ac:dyDescent="0.25">
      <c r="C54" s="352">
        <f>C53-C52</f>
        <v>0</v>
      </c>
      <c r="D54" s="352">
        <f t="shared" ref="D54:Q54" si="14">D53-D52</f>
        <v>0</v>
      </c>
      <c r="E54" s="352">
        <f t="shared" si="14"/>
        <v>2.0000019418375814E-9</v>
      </c>
      <c r="F54" s="352">
        <f t="shared" si="14"/>
        <v>0</v>
      </c>
      <c r="G54" s="352">
        <f t="shared" si="14"/>
        <v>-3.1339999964075105E-6</v>
      </c>
      <c r="H54" s="352">
        <f t="shared" si="14"/>
        <v>4.5000003723316695E-9</v>
      </c>
      <c r="I54" s="352">
        <f t="shared" si="14"/>
        <v>0</v>
      </c>
      <c r="J54" s="352">
        <f t="shared" si="14"/>
        <v>0</v>
      </c>
      <c r="K54" s="352">
        <f t="shared" si="14"/>
        <v>0.5</v>
      </c>
      <c r="L54" s="352">
        <f t="shared" si="14"/>
        <v>0</v>
      </c>
      <c r="M54" s="352">
        <f t="shared" si="14"/>
        <v>0</v>
      </c>
      <c r="N54" s="352">
        <f t="shared" si="14"/>
        <v>0</v>
      </c>
      <c r="O54" s="352">
        <f t="shared" si="14"/>
        <v>0</v>
      </c>
      <c r="P54" s="352">
        <f t="shared" si="14"/>
        <v>2.000000165480742E-9</v>
      </c>
      <c r="Q54" s="352">
        <f t="shared" si="14"/>
        <v>0</v>
      </c>
    </row>
  </sheetData>
  <autoFilter ref="A8:R50"/>
  <mergeCells count="28">
    <mergeCell ref="A49:P49"/>
    <mergeCell ref="N3:N5"/>
    <mergeCell ref="O3:O5"/>
    <mergeCell ref="P3:P5"/>
    <mergeCell ref="A48:R48"/>
    <mergeCell ref="Q3:Q5"/>
    <mergeCell ref="C9:R9"/>
    <mergeCell ref="C24:R24"/>
    <mergeCell ref="C31:R31"/>
    <mergeCell ref="C37:R37"/>
    <mergeCell ref="L3:L5"/>
    <mergeCell ref="M3:M5"/>
    <mergeCell ref="A1:R1"/>
    <mergeCell ref="A2:A7"/>
    <mergeCell ref="B2:B7"/>
    <mergeCell ref="C2:M2"/>
    <mergeCell ref="N2:R2"/>
    <mergeCell ref="C3:C5"/>
    <mergeCell ref="D3:D5"/>
    <mergeCell ref="E3:E5"/>
    <mergeCell ref="F3:F5"/>
    <mergeCell ref="G3:G5"/>
    <mergeCell ref="R3:R5"/>
    <mergeCell ref="C6:R6"/>
    <mergeCell ref="H3:H5"/>
    <mergeCell ref="I3:I5"/>
    <mergeCell ref="J3:J5"/>
    <mergeCell ref="K3:K5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5"/>
  <sheetViews>
    <sheetView view="pageBreakPreview" zoomScale="60" zoomScaleNormal="100" workbookViewId="0">
      <pane ySplit="7" topLeftCell="A8" activePane="bottomLeft" state="frozen"/>
      <selection pane="bottomLeft" activeCell="X16" sqref="X16"/>
    </sheetView>
  </sheetViews>
  <sheetFormatPr defaultRowHeight="15.75" x14ac:dyDescent="0.25"/>
  <cols>
    <col min="1" max="1" width="24.140625" style="156" customWidth="1"/>
    <col min="2" max="2" width="15.85546875" style="173" customWidth="1"/>
    <col min="3" max="4" width="15.85546875" style="156" customWidth="1"/>
    <col min="5" max="5" width="15.85546875" style="173" customWidth="1"/>
    <col min="6" max="7" width="15.85546875" style="156" customWidth="1"/>
    <col min="8" max="8" width="15.85546875" style="173" customWidth="1"/>
    <col min="9" max="10" width="15.85546875" style="156" customWidth="1"/>
    <col min="11" max="11" width="15.85546875" style="173" customWidth="1"/>
    <col min="12" max="13" width="15.85546875" style="156" customWidth="1"/>
    <col min="14" max="14" width="11.28515625" style="156" bestFit="1" customWidth="1"/>
    <col min="15" max="16384" width="9.140625" style="156"/>
  </cols>
  <sheetData>
    <row r="1" spans="1:14" ht="16.5" x14ac:dyDescent="0.25">
      <c r="M1" s="87" t="s">
        <v>171</v>
      </c>
    </row>
    <row r="2" spans="1:14" ht="16.5" x14ac:dyDescent="0.25">
      <c r="M2" s="97" t="s">
        <v>79</v>
      </c>
    </row>
    <row r="3" spans="1:14" ht="16.5" x14ac:dyDescent="0.25">
      <c r="M3" s="97" t="str">
        <f>МОБ!$R$3</f>
        <v>№ 10-01 от 25.06.2024</v>
      </c>
    </row>
    <row r="4" spans="1:14" ht="34.5" customHeight="1" x14ac:dyDescent="0.25">
      <c r="A4" s="475" t="s">
        <v>86</v>
      </c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</row>
    <row r="5" spans="1:14" x14ac:dyDescent="0.25">
      <c r="M5" s="174" t="s">
        <v>89</v>
      </c>
    </row>
    <row r="6" spans="1:14" ht="45.75" customHeight="1" x14ac:dyDescent="0.25">
      <c r="A6" s="446" t="s">
        <v>169</v>
      </c>
      <c r="B6" s="443" t="s">
        <v>126</v>
      </c>
      <c r="C6" s="444"/>
      <c r="D6" s="445"/>
      <c r="E6" s="443" t="s">
        <v>125</v>
      </c>
      <c r="F6" s="444"/>
      <c r="G6" s="445"/>
      <c r="H6" s="443" t="s">
        <v>125</v>
      </c>
      <c r="I6" s="444"/>
      <c r="J6" s="445"/>
      <c r="K6" s="443" t="s">
        <v>125</v>
      </c>
      <c r="L6" s="444"/>
      <c r="M6" s="445"/>
    </row>
    <row r="7" spans="1:14" ht="125.25" customHeight="1" x14ac:dyDescent="0.25">
      <c r="A7" s="447"/>
      <c r="B7" s="170" t="s">
        <v>126</v>
      </c>
      <c r="C7" s="158" t="s">
        <v>127</v>
      </c>
      <c r="D7" s="158" t="s">
        <v>129</v>
      </c>
      <c r="E7" s="170" t="s">
        <v>126</v>
      </c>
      <c r="F7" s="158" t="s">
        <v>127</v>
      </c>
      <c r="G7" s="158" t="s">
        <v>129</v>
      </c>
      <c r="H7" s="170" t="s">
        <v>126</v>
      </c>
      <c r="I7" s="158" t="s">
        <v>127</v>
      </c>
      <c r="J7" s="158" t="s">
        <v>129</v>
      </c>
      <c r="K7" s="170" t="s">
        <v>126</v>
      </c>
      <c r="L7" s="158" t="s">
        <v>127</v>
      </c>
      <c r="M7" s="158" t="s">
        <v>129</v>
      </c>
    </row>
    <row r="8" spans="1:14" x14ac:dyDescent="0.25">
      <c r="A8" s="472" t="s">
        <v>131</v>
      </c>
      <c r="B8" s="473"/>
      <c r="C8" s="473"/>
      <c r="D8" s="473"/>
      <c r="E8" s="473"/>
      <c r="F8" s="473"/>
      <c r="G8" s="473"/>
      <c r="H8" s="473"/>
      <c r="I8" s="473"/>
      <c r="J8" s="473"/>
      <c r="K8" s="473"/>
      <c r="L8" s="473"/>
      <c r="M8" s="474"/>
    </row>
    <row r="9" spans="1:14" ht="44.25" customHeight="1" x14ac:dyDescent="0.25">
      <c r="A9" s="157" t="s">
        <v>68</v>
      </c>
      <c r="B9" s="171">
        <f>C9+D9</f>
        <v>1422025.34</v>
      </c>
      <c r="C9" s="159">
        <f>F9+I9+L9</f>
        <v>1275982.56</v>
      </c>
      <c r="D9" s="159">
        <f>G9+J9+M9</f>
        <v>146042.78</v>
      </c>
      <c r="E9" s="171">
        <f>F9+G9</f>
        <v>1422025.34</v>
      </c>
      <c r="F9" s="159">
        <f>F14+F19</f>
        <v>1275982.56</v>
      </c>
      <c r="G9" s="159">
        <f>G14+G19</f>
        <v>146042.78</v>
      </c>
      <c r="H9" s="171">
        <f>I9+J9</f>
        <v>0</v>
      </c>
      <c r="I9" s="159">
        <f>I14+I19</f>
        <v>0</v>
      </c>
      <c r="J9" s="159">
        <f>J14+J19</f>
        <v>0</v>
      </c>
      <c r="K9" s="171">
        <f>L9+M9</f>
        <v>0</v>
      </c>
      <c r="L9" s="159">
        <f>L14+L19</f>
        <v>0</v>
      </c>
      <c r="M9" s="159">
        <f>M14+M19</f>
        <v>0</v>
      </c>
    </row>
    <row r="10" spans="1:14" ht="63" x14ac:dyDescent="0.25">
      <c r="A10" s="157" t="s">
        <v>84</v>
      </c>
      <c r="B10" s="171">
        <f t="shared" ref="B10:B11" si="0">C10+D10</f>
        <v>3172336.9400000004</v>
      </c>
      <c r="C10" s="159">
        <f t="shared" ref="C10:C11" si="1">F10+I10+L10</f>
        <v>2950215.4600000004</v>
      </c>
      <c r="D10" s="159">
        <f t="shared" ref="D10:D11" si="2">G10+J10+M10</f>
        <v>222121.47999999998</v>
      </c>
      <c r="E10" s="171">
        <f t="shared" ref="E10:E11" si="3">F10+G10</f>
        <v>2650362.0700000003</v>
      </c>
      <c r="F10" s="159">
        <f t="shared" ref="F10:G11" si="4">F15+F20</f>
        <v>2464788.3600000003</v>
      </c>
      <c r="G10" s="159">
        <f t="shared" si="4"/>
        <v>185573.71</v>
      </c>
      <c r="H10" s="171">
        <f t="shared" ref="H10:H11" si="5">I10+J10</f>
        <v>521974.87</v>
      </c>
      <c r="I10" s="159">
        <f t="shared" ref="I10:J10" si="6">I15+I20</f>
        <v>485427.1</v>
      </c>
      <c r="J10" s="159">
        <f t="shared" si="6"/>
        <v>36547.769999999997</v>
      </c>
      <c r="K10" s="171">
        <f t="shared" ref="K10:K11" si="7">L10+M10</f>
        <v>0</v>
      </c>
      <c r="L10" s="159">
        <f t="shared" ref="L10:M10" si="8">L15+L20</f>
        <v>0</v>
      </c>
      <c r="M10" s="159">
        <f t="shared" si="8"/>
        <v>0</v>
      </c>
    </row>
    <row r="11" spans="1:14" ht="31.5" x14ac:dyDescent="0.25">
      <c r="A11" s="157" t="s">
        <v>130</v>
      </c>
      <c r="B11" s="171">
        <f t="shared" si="0"/>
        <v>4056805.43</v>
      </c>
      <c r="C11" s="159">
        <f t="shared" si="1"/>
        <v>3710982.6100000003</v>
      </c>
      <c r="D11" s="159">
        <f t="shared" si="2"/>
        <v>345822.82</v>
      </c>
      <c r="E11" s="171">
        <f t="shared" si="3"/>
        <v>2531688.69</v>
      </c>
      <c r="F11" s="159">
        <f t="shared" si="4"/>
        <v>2312586.54</v>
      </c>
      <c r="G11" s="159">
        <f t="shared" si="4"/>
        <v>219102.15</v>
      </c>
      <c r="H11" s="171">
        <f t="shared" si="5"/>
        <v>0</v>
      </c>
      <c r="I11" s="159">
        <f t="shared" ref="I11:J11" si="9">I16+I21</f>
        <v>0</v>
      </c>
      <c r="J11" s="159">
        <f t="shared" si="9"/>
        <v>0</v>
      </c>
      <c r="K11" s="171">
        <f t="shared" si="7"/>
        <v>1525116.74</v>
      </c>
      <c r="L11" s="159">
        <f t="shared" ref="L11:M11" si="10">L16+L21</f>
        <v>1398396.07</v>
      </c>
      <c r="M11" s="159">
        <f t="shared" si="10"/>
        <v>126720.67</v>
      </c>
    </row>
    <row r="12" spans="1:14" ht="24.75" customHeight="1" x14ac:dyDescent="0.25">
      <c r="A12" s="157" t="s">
        <v>133</v>
      </c>
      <c r="B12" s="171">
        <f>SUM(B9:B11)</f>
        <v>8651167.7100000009</v>
      </c>
      <c r="C12" s="159">
        <f t="shared" ref="C12:M12" si="11">SUM(C9:C11)</f>
        <v>7937180.6300000008</v>
      </c>
      <c r="D12" s="159">
        <f t="shared" si="11"/>
        <v>713987.08000000007</v>
      </c>
      <c r="E12" s="171">
        <f t="shared" si="11"/>
        <v>6604076.0999999996</v>
      </c>
      <c r="F12" s="159">
        <f t="shared" si="11"/>
        <v>6053357.4600000009</v>
      </c>
      <c r="G12" s="159">
        <f t="shared" si="11"/>
        <v>550718.64</v>
      </c>
      <c r="H12" s="171">
        <f t="shared" si="11"/>
        <v>521974.87</v>
      </c>
      <c r="I12" s="159">
        <f t="shared" si="11"/>
        <v>485427.1</v>
      </c>
      <c r="J12" s="159">
        <f t="shared" si="11"/>
        <v>36547.769999999997</v>
      </c>
      <c r="K12" s="171">
        <f t="shared" si="11"/>
        <v>1525116.74</v>
      </c>
      <c r="L12" s="159">
        <f t="shared" si="11"/>
        <v>1398396.07</v>
      </c>
      <c r="M12" s="159">
        <f t="shared" si="11"/>
        <v>126720.67</v>
      </c>
      <c r="N12" s="160"/>
    </row>
    <row r="13" spans="1:14" ht="23.25" customHeight="1" x14ac:dyDescent="0.25">
      <c r="A13" s="472" t="s">
        <v>214</v>
      </c>
      <c r="B13" s="473"/>
      <c r="C13" s="473"/>
      <c r="D13" s="473"/>
      <c r="E13" s="473"/>
      <c r="F13" s="473"/>
      <c r="G13" s="473"/>
      <c r="H13" s="473"/>
      <c r="I13" s="473"/>
      <c r="J13" s="473"/>
      <c r="K13" s="473"/>
      <c r="L13" s="473"/>
      <c r="M13" s="474"/>
    </row>
    <row r="14" spans="1:14" ht="39" customHeight="1" x14ac:dyDescent="0.25">
      <c r="A14" s="157" t="s">
        <v>68</v>
      </c>
      <c r="B14" s="171">
        <f>C14+D14</f>
        <v>1422025.34</v>
      </c>
      <c r="C14" s="159">
        <f>F14+I14+L14</f>
        <v>1275982.56</v>
      </c>
      <c r="D14" s="159">
        <f>G14+J14+M14</f>
        <v>146042.78</v>
      </c>
      <c r="E14" s="171">
        <f>F14+G14</f>
        <v>1422025.34</v>
      </c>
      <c r="F14" s="159">
        <f>'ПР_4 ОБЪЕМ СРЕДСТВ (Основной)'!E38</f>
        <v>1275982.56</v>
      </c>
      <c r="G14" s="159">
        <f>'ПР_4 ОБЪЕМ СРЕДСТВ (Основной)'!E44</f>
        <v>146042.78</v>
      </c>
      <c r="H14" s="171">
        <f>I14+J14</f>
        <v>0</v>
      </c>
      <c r="I14" s="159">
        <f>'ПР_4 ОБЪЕМ СРЕДСТВ (АМП)'!E31</f>
        <v>0</v>
      </c>
      <c r="J14" s="159">
        <f>'ПР_4 ОБЪЕМ СРЕДСТВ (АМП)'!E37</f>
        <v>0</v>
      </c>
      <c r="K14" s="171">
        <f>L14+M14</f>
        <v>0</v>
      </c>
      <c r="L14" s="159">
        <f>'ПР_4 ОБЪЕМ СРЕДСТВ (СТОМАТ)'!E31</f>
        <v>0</v>
      </c>
      <c r="M14" s="159">
        <f>'ПР_4 ОБЪЕМ СРЕДСТВ (СТОМАТ)'!E37</f>
        <v>0</v>
      </c>
    </row>
    <row r="15" spans="1:14" ht="63" x14ac:dyDescent="0.25">
      <c r="A15" s="157" t="s">
        <v>84</v>
      </c>
      <c r="B15" s="171">
        <f t="shared" ref="B15:B16" si="12">C15+D15</f>
        <v>1034521.65</v>
      </c>
      <c r="C15" s="159">
        <f t="shared" ref="C15:D16" si="13">F15+I15+L15</f>
        <v>962086.25</v>
      </c>
      <c r="D15" s="159">
        <f t="shared" si="13"/>
        <v>72435.399999999994</v>
      </c>
      <c r="E15" s="171">
        <f t="shared" ref="E15:E16" si="14">F15+G15</f>
        <v>669139.24</v>
      </c>
      <c r="F15" s="159">
        <f>'ПР_4 ОБЪЕМ СРЕДСТВ (Основной)'!E60</f>
        <v>622287.28</v>
      </c>
      <c r="G15" s="159">
        <f>'ПР_4 ОБЪЕМ СРЕДСТВ (Основной)'!E66</f>
        <v>46851.96</v>
      </c>
      <c r="H15" s="171">
        <f t="shared" ref="H15:H16" si="15">I15+J15</f>
        <v>365382.41</v>
      </c>
      <c r="I15" s="159">
        <f>'ПР_4 ОБЪЕМ СРЕДСТВ (АМП)'!E52</f>
        <v>339798.97</v>
      </c>
      <c r="J15" s="159">
        <f>'ПР_4 ОБЪЕМ СРЕДСТВ (АМП)'!E58</f>
        <v>25583.439999999999</v>
      </c>
      <c r="K15" s="171">
        <f t="shared" ref="K15:K16" si="16">L15+M15</f>
        <v>0</v>
      </c>
      <c r="L15" s="159">
        <f>'ПР_4 ОБЪЕМ СРЕДСТВ (СТОМАТ)'!E52</f>
        <v>0</v>
      </c>
      <c r="M15" s="159">
        <f>'ПР_4 ОБЪЕМ СРЕДСТВ (СТОМАТ)'!E58</f>
        <v>0</v>
      </c>
    </row>
    <row r="16" spans="1:14" ht="31.5" x14ac:dyDescent="0.25">
      <c r="A16" s="157" t="s">
        <v>130</v>
      </c>
      <c r="B16" s="171">
        <f t="shared" si="12"/>
        <v>3599270.41</v>
      </c>
      <c r="C16" s="159">
        <f t="shared" si="13"/>
        <v>3291463.79</v>
      </c>
      <c r="D16" s="159">
        <f t="shared" si="13"/>
        <v>307806.62</v>
      </c>
      <c r="E16" s="171">
        <f t="shared" si="14"/>
        <v>2531688.69</v>
      </c>
      <c r="F16" s="159">
        <f>'ПР_4 ОБЪЕМ СРЕДСТВ (Основной)'!E82</f>
        <v>2312586.54</v>
      </c>
      <c r="G16" s="159">
        <f>'ПР_4 ОБЪЕМ СРЕДСТВ (Основной)'!E88</f>
        <v>219102.15</v>
      </c>
      <c r="H16" s="171">
        <f t="shared" si="15"/>
        <v>0</v>
      </c>
      <c r="I16" s="159">
        <f>'ПР_4 ОБЪЕМ СРЕДСТВ (АМП)'!E73</f>
        <v>0</v>
      </c>
      <c r="J16" s="159">
        <f>'ПР_4 ОБЪЕМ СРЕДСТВ (АМП)'!E79</f>
        <v>0</v>
      </c>
      <c r="K16" s="171">
        <f t="shared" si="16"/>
        <v>1067581.72</v>
      </c>
      <c r="L16" s="159">
        <f>'ПР_4 ОБЪЕМ СРЕДСТВ (СТОМАТ)'!E73</f>
        <v>978877.25</v>
      </c>
      <c r="M16" s="159">
        <f>'ПР_4 ОБЪЕМ СРЕДСТВ (СТОМАТ)'!E79</f>
        <v>88704.47</v>
      </c>
    </row>
    <row r="17" spans="1:13" ht="27" customHeight="1" x14ac:dyDescent="0.25">
      <c r="A17" s="157" t="s">
        <v>133</v>
      </c>
      <c r="B17" s="171">
        <f>SUM(B14:B16)</f>
        <v>6055817.4000000004</v>
      </c>
      <c r="C17" s="159">
        <f>SUM(C14:C16)</f>
        <v>5529532.5999999996</v>
      </c>
      <c r="D17" s="159">
        <f>SUM(D14:D16)</f>
        <v>526284.80000000005</v>
      </c>
      <c r="E17" s="171">
        <f>SUM(E14:E16)</f>
        <v>4622853.2699999996</v>
      </c>
      <c r="F17" s="159">
        <f t="shared" ref="F17:J17" si="17">SUM(F14:F16)</f>
        <v>4210856.38</v>
      </c>
      <c r="G17" s="159">
        <f t="shared" si="17"/>
        <v>411996.89</v>
      </c>
      <c r="H17" s="171">
        <f>SUM(H14:H16)</f>
        <v>365382.41</v>
      </c>
      <c r="I17" s="159">
        <f t="shared" si="17"/>
        <v>339798.97</v>
      </c>
      <c r="J17" s="159">
        <f t="shared" si="17"/>
        <v>25583.439999999999</v>
      </c>
      <c r="K17" s="171">
        <f>SUM(K14:K16)</f>
        <v>1067581.72</v>
      </c>
      <c r="L17" s="157"/>
      <c r="M17" s="157"/>
    </row>
    <row r="18" spans="1:13" ht="21.75" customHeight="1" x14ac:dyDescent="0.25">
      <c r="A18" s="472" t="s">
        <v>132</v>
      </c>
      <c r="B18" s="473"/>
      <c r="C18" s="473"/>
      <c r="D18" s="473"/>
      <c r="E18" s="473"/>
      <c r="F18" s="473"/>
      <c r="G18" s="473"/>
      <c r="H18" s="473"/>
      <c r="I18" s="473"/>
      <c r="J18" s="473"/>
      <c r="K18" s="473"/>
      <c r="L18" s="473"/>
      <c r="M18" s="474"/>
    </row>
    <row r="19" spans="1:13" ht="36.75" customHeight="1" x14ac:dyDescent="0.25">
      <c r="A19" s="157" t="s">
        <v>68</v>
      </c>
      <c r="B19" s="171">
        <f>C19+D19</f>
        <v>0</v>
      </c>
      <c r="C19" s="159">
        <f>F19+I19+L19</f>
        <v>0</v>
      </c>
      <c r="D19" s="159">
        <f>G19+J19+M19</f>
        <v>0</v>
      </c>
      <c r="E19" s="172">
        <v>0</v>
      </c>
      <c r="F19" s="157">
        <v>0</v>
      </c>
      <c r="G19" s="157">
        <v>0</v>
      </c>
      <c r="H19" s="171">
        <f>I19+J19</f>
        <v>0</v>
      </c>
      <c r="I19" s="157"/>
      <c r="J19" s="157"/>
      <c r="K19" s="171">
        <f>L19+M19</f>
        <v>0</v>
      </c>
      <c r="L19" s="157"/>
      <c r="M19" s="157"/>
    </row>
    <row r="20" spans="1:13" ht="72.75" customHeight="1" x14ac:dyDescent="0.25">
      <c r="A20" s="157" t="s">
        <v>84</v>
      </c>
      <c r="B20" s="171">
        <f t="shared" ref="B20:B21" si="18">C20+D20</f>
        <v>2137815.29</v>
      </c>
      <c r="C20" s="159">
        <f t="shared" ref="C20:C21" si="19">F20+I20+L20</f>
        <v>1988129.21</v>
      </c>
      <c r="D20" s="159">
        <f t="shared" ref="D20:D21" si="20">G20+J20+M20</f>
        <v>149686.07999999999</v>
      </c>
      <c r="E20" s="171">
        <f>F20+G20</f>
        <v>1981222.83</v>
      </c>
      <c r="F20" s="159">
        <f>'ПР_4 ОБЪЕМ СРЕДСТВ (Основной)'!E129</f>
        <v>1842501.08</v>
      </c>
      <c r="G20" s="159">
        <f>'ПР_4 ОБЪЕМ СРЕДСТВ (Основной)'!E135</f>
        <v>138721.75</v>
      </c>
      <c r="H20" s="171">
        <f t="shared" ref="H20:H21" si="21">I20+J20</f>
        <v>156592.46</v>
      </c>
      <c r="I20" s="159">
        <f>'ПР_4 ОБЪЕМ СРЕДСТВ (АМП)'!E120</f>
        <v>145628.13</v>
      </c>
      <c r="J20" s="159">
        <f>'ПР_4 ОБЪЕМ СРЕДСТВ (АМП)'!E126</f>
        <v>10964.33</v>
      </c>
      <c r="K20" s="171">
        <f t="shared" ref="K20:K21" si="22">L20+M20</f>
        <v>0</v>
      </c>
      <c r="L20" s="157"/>
      <c r="M20" s="157"/>
    </row>
    <row r="21" spans="1:13" ht="36.75" customHeight="1" x14ac:dyDescent="0.25">
      <c r="A21" s="157" t="s">
        <v>130</v>
      </c>
      <c r="B21" s="171">
        <f t="shared" si="18"/>
        <v>457535.02</v>
      </c>
      <c r="C21" s="159">
        <f t="shared" si="19"/>
        <v>419518.82</v>
      </c>
      <c r="D21" s="159">
        <f t="shared" si="20"/>
        <v>38016.199999999997</v>
      </c>
      <c r="E21" s="171">
        <f t="shared" ref="E21:E22" si="23">F21+G21</f>
        <v>0</v>
      </c>
      <c r="F21" s="157">
        <v>0</v>
      </c>
      <c r="G21" s="157">
        <v>0</v>
      </c>
      <c r="H21" s="171">
        <f t="shared" si="21"/>
        <v>0</v>
      </c>
      <c r="I21" s="157"/>
      <c r="J21" s="157"/>
      <c r="K21" s="171">
        <f t="shared" si="22"/>
        <v>457535.02</v>
      </c>
      <c r="L21" s="159">
        <f>'ПР_4 ОБЪЕМ СРЕДСТВ (СТОМАТ)'!E120</f>
        <v>419518.82</v>
      </c>
      <c r="M21" s="159">
        <f>'ПР_4 ОБЪЕМ СРЕДСТВ (СТОМАТ)'!E126</f>
        <v>38016.199999999997</v>
      </c>
    </row>
    <row r="22" spans="1:13" ht="23.25" customHeight="1" x14ac:dyDescent="0.25">
      <c r="A22" s="157" t="s">
        <v>133</v>
      </c>
      <c r="B22" s="171">
        <f>SUM(B19:B21)</f>
        <v>2595350.31</v>
      </c>
      <c r="C22" s="159">
        <f>SUM(C19:C21)</f>
        <v>2407648.0299999998</v>
      </c>
      <c r="D22" s="159">
        <f>SUM(D19:D21)</f>
        <v>187702.27999999997</v>
      </c>
      <c r="E22" s="171">
        <f t="shared" si="23"/>
        <v>1981222.83</v>
      </c>
      <c r="F22" s="159">
        <f>SUM(F19:F21)</f>
        <v>1842501.08</v>
      </c>
      <c r="G22" s="159">
        <f>SUM(G19:G21)</f>
        <v>138721.75</v>
      </c>
      <c r="H22" s="171">
        <f>SUM(H19:H21)</f>
        <v>156592.46</v>
      </c>
      <c r="I22" s="157"/>
      <c r="J22" s="157"/>
      <c r="K22" s="171">
        <f>SUM(K19:K21)</f>
        <v>457535.02</v>
      </c>
      <c r="L22" s="157"/>
      <c r="M22" s="157"/>
    </row>
    <row r="24" spans="1:13" x14ac:dyDescent="0.25">
      <c r="B24" s="181">
        <f>'ПР_4 ОБЪЕМ СРЕДСТВ (Основной)'!E12+'ПР_4 ОБЪЕМ СРЕДСТВ (АМП)'!E7+'ПР_4 ОБЪЕМ СРЕДСТВ (СТОМАТ)'!E7</f>
        <v>8651167.7300000004</v>
      </c>
      <c r="E24" s="181">
        <f>'ПР_4 ОБЪЕМ СРЕДСТВ (Основной)'!E17</f>
        <v>6604076.1100000003</v>
      </c>
      <c r="H24" s="181">
        <f>'ПР_4 ОБЪЕМ СРЕДСТВ (АМП)'!E7</f>
        <v>521974.87</v>
      </c>
      <c r="K24" s="181">
        <f>'ПР_4 ОБЪЕМ СРЕДСТВ (СТОМАТ)'!E7</f>
        <v>1525116.75</v>
      </c>
    </row>
    <row r="25" spans="1:13" x14ac:dyDescent="0.25">
      <c r="B25" s="181">
        <f>B24-B12</f>
        <v>1.9999999552965164E-2</v>
      </c>
      <c r="E25" s="181">
        <f>E24-E12</f>
        <v>1.0000000707805157E-2</v>
      </c>
      <c r="H25" s="181">
        <f>H24-H12</f>
        <v>0</v>
      </c>
      <c r="K25" s="181">
        <f>K24-K12</f>
        <v>1.0000000009313226E-2</v>
      </c>
    </row>
  </sheetData>
  <mergeCells count="9">
    <mergeCell ref="A18:M18"/>
    <mergeCell ref="A6:A7"/>
    <mergeCell ref="A4:M4"/>
    <mergeCell ref="E6:G6"/>
    <mergeCell ref="H6:J6"/>
    <mergeCell ref="K6:M6"/>
    <mergeCell ref="B6:D6"/>
    <mergeCell ref="A8:M8"/>
    <mergeCell ref="A13:M13"/>
  </mergeCells>
  <pageMargins left="0.7" right="0.7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zoomScale="80" zoomScaleNormal="80" zoomScaleSheetLayoutView="55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J18" sqref="J18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18" ht="25.5" customHeight="1" thickBot="1" x14ac:dyDescent="0.3">
      <c r="A1" s="357" t="s">
        <v>60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  <c r="Q1" s="357"/>
      <c r="R1" s="357"/>
    </row>
    <row r="2" spans="1:18" s="4" customFormat="1" ht="21.75" customHeight="1" x14ac:dyDescent="0.25">
      <c r="A2" s="358" t="s">
        <v>55</v>
      </c>
      <c r="B2" s="361" t="s">
        <v>54</v>
      </c>
      <c r="C2" s="364" t="s">
        <v>52</v>
      </c>
      <c r="D2" s="364"/>
      <c r="E2" s="364"/>
      <c r="F2" s="364"/>
      <c r="G2" s="364"/>
      <c r="H2" s="364"/>
      <c r="I2" s="364"/>
      <c r="J2" s="364"/>
      <c r="K2" s="364"/>
      <c r="L2" s="364"/>
      <c r="M2" s="365"/>
      <c r="N2" s="366" t="s">
        <v>1</v>
      </c>
      <c r="O2" s="364"/>
      <c r="P2" s="364"/>
      <c r="Q2" s="364"/>
      <c r="R2" s="365"/>
    </row>
    <row r="3" spans="1:18" s="6" customFormat="1" ht="12" customHeight="1" x14ac:dyDescent="0.2">
      <c r="A3" s="359"/>
      <c r="B3" s="362"/>
      <c r="C3" s="367" t="s">
        <v>33</v>
      </c>
      <c r="D3" s="368" t="s">
        <v>34</v>
      </c>
      <c r="E3" s="368" t="s">
        <v>35</v>
      </c>
      <c r="F3" s="368" t="s">
        <v>36</v>
      </c>
      <c r="G3" s="368" t="s">
        <v>42</v>
      </c>
      <c r="H3" s="368" t="s">
        <v>43</v>
      </c>
      <c r="I3" s="372" t="s">
        <v>31</v>
      </c>
      <c r="J3" s="368" t="s">
        <v>29</v>
      </c>
      <c r="K3" s="368" t="s">
        <v>30</v>
      </c>
      <c r="L3" s="368" t="s">
        <v>32</v>
      </c>
      <c r="M3" s="369" t="s">
        <v>0</v>
      </c>
      <c r="N3" s="375" t="s">
        <v>33</v>
      </c>
      <c r="O3" s="368" t="s">
        <v>34</v>
      </c>
      <c r="P3" s="368" t="s">
        <v>35</v>
      </c>
      <c r="Q3" s="372" t="s">
        <v>31</v>
      </c>
      <c r="R3" s="369" t="s">
        <v>0</v>
      </c>
    </row>
    <row r="4" spans="1:18" s="6" customFormat="1" ht="12" customHeight="1" x14ac:dyDescent="0.2">
      <c r="A4" s="359"/>
      <c r="B4" s="362"/>
      <c r="C4" s="367"/>
      <c r="D4" s="368"/>
      <c r="E4" s="368"/>
      <c r="F4" s="368"/>
      <c r="G4" s="368"/>
      <c r="H4" s="368"/>
      <c r="I4" s="372"/>
      <c r="J4" s="368"/>
      <c r="K4" s="368"/>
      <c r="L4" s="368"/>
      <c r="M4" s="369"/>
      <c r="N4" s="375"/>
      <c r="O4" s="368"/>
      <c r="P4" s="368"/>
      <c r="Q4" s="372"/>
      <c r="R4" s="369"/>
    </row>
    <row r="5" spans="1:18" s="6" customFormat="1" ht="64.5" customHeight="1" x14ac:dyDescent="0.2">
      <c r="A5" s="359"/>
      <c r="B5" s="362"/>
      <c r="C5" s="367"/>
      <c r="D5" s="368"/>
      <c r="E5" s="368"/>
      <c r="F5" s="368"/>
      <c r="G5" s="368"/>
      <c r="H5" s="368"/>
      <c r="I5" s="372"/>
      <c r="J5" s="368"/>
      <c r="K5" s="368"/>
      <c r="L5" s="368"/>
      <c r="M5" s="369"/>
      <c r="N5" s="375"/>
      <c r="O5" s="368"/>
      <c r="P5" s="368"/>
      <c r="Q5" s="372"/>
      <c r="R5" s="369"/>
    </row>
    <row r="6" spans="1:18" s="6" customFormat="1" ht="15" customHeight="1" x14ac:dyDescent="0.2">
      <c r="A6" s="359"/>
      <c r="B6" s="362"/>
      <c r="C6" s="370" t="s">
        <v>27</v>
      </c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1"/>
    </row>
    <row r="7" spans="1:18" s="6" customFormat="1" ht="207.75" customHeight="1" x14ac:dyDescent="0.2">
      <c r="A7" s="360"/>
      <c r="B7" s="363"/>
      <c r="C7" s="23" t="s">
        <v>47</v>
      </c>
      <c r="D7" s="5" t="s">
        <v>47</v>
      </c>
      <c r="E7" s="5" t="s">
        <v>46</v>
      </c>
      <c r="F7" s="5" t="s">
        <v>53</v>
      </c>
      <c r="G7" s="5" t="s">
        <v>51</v>
      </c>
      <c r="H7" s="5" t="s">
        <v>49</v>
      </c>
      <c r="I7" s="51" t="s">
        <v>50</v>
      </c>
      <c r="J7" s="5" t="s">
        <v>44</v>
      </c>
      <c r="K7" s="5" t="s">
        <v>44</v>
      </c>
      <c r="L7" s="7" t="s">
        <v>41</v>
      </c>
      <c r="M7" s="8"/>
      <c r="N7" s="19" t="s">
        <v>47</v>
      </c>
      <c r="O7" s="5" t="s">
        <v>47</v>
      </c>
      <c r="P7" s="5" t="s">
        <v>48</v>
      </c>
      <c r="Q7" s="60" t="s">
        <v>45</v>
      </c>
      <c r="R7" s="8"/>
    </row>
    <row r="8" spans="1:18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18" ht="15" customHeight="1" x14ac:dyDescent="0.25">
      <c r="A9" s="24"/>
      <c r="B9" s="25"/>
      <c r="C9" s="377" t="s">
        <v>56</v>
      </c>
      <c r="D9" s="377"/>
      <c r="E9" s="377"/>
      <c r="F9" s="377"/>
      <c r="G9" s="377"/>
      <c r="H9" s="377"/>
      <c r="I9" s="377"/>
      <c r="J9" s="377"/>
      <c r="K9" s="377"/>
      <c r="L9" s="377"/>
      <c r="M9" s="377"/>
      <c r="N9" s="377"/>
      <c r="O9" s="377"/>
      <c r="P9" s="377"/>
      <c r="Q9" s="377"/>
      <c r="R9" s="378"/>
    </row>
    <row r="10" spans="1:18" s="37" customFormat="1" ht="60" x14ac:dyDescent="0.25">
      <c r="A10" s="34">
        <v>1</v>
      </c>
      <c r="B10" s="35" t="s">
        <v>2</v>
      </c>
      <c r="C10" s="42"/>
      <c r="D10" s="34"/>
      <c r="E10" s="40">
        <f>IFERROR(ROUND(C10/D10,9),0)</f>
        <v>0</v>
      </c>
      <c r="F10" s="36" t="s">
        <v>28</v>
      </c>
      <c r="G10" s="40">
        <f>IFERROR(ROUND((E10/P10*100-100),9),0)</f>
        <v>0</v>
      </c>
      <c r="H10" s="36" t="s">
        <v>28</v>
      </c>
      <c r="I10" s="52"/>
      <c r="J10" s="34"/>
      <c r="K10" s="34"/>
      <c r="L10" s="34"/>
      <c r="M10" s="41"/>
      <c r="N10" s="42"/>
      <c r="O10" s="34"/>
      <c r="P10" s="40">
        <f t="shared" ref="P10" si="0">IFERROR(ROUND(N10/O10,9),0)</f>
        <v>0</v>
      </c>
      <c r="Q10" s="56"/>
      <c r="R10" s="41"/>
    </row>
    <row r="11" spans="1:18" ht="120" x14ac:dyDescent="0.25">
      <c r="A11" s="9">
        <v>2</v>
      </c>
      <c r="B11" s="10" t="s">
        <v>3</v>
      </c>
      <c r="C11" s="43"/>
      <c r="D11" s="9"/>
      <c r="E11" s="61">
        <f t="shared" ref="E11:E22" si="1">IFERROR(ROUND(C11/D11,9),0)</f>
        <v>0</v>
      </c>
      <c r="F11" s="11" t="s">
        <v>28</v>
      </c>
      <c r="G11" s="38">
        <f t="shared" ref="G11:G17" si="2">IFERROR(ROUND((E11/P11*100-100),9),0)</f>
        <v>0</v>
      </c>
      <c r="H11" s="11" t="s">
        <v>28</v>
      </c>
      <c r="I11" s="53"/>
      <c r="J11" s="9"/>
      <c r="K11" s="9"/>
      <c r="L11" s="9"/>
      <c r="M11" s="44"/>
      <c r="N11" s="43"/>
      <c r="O11" s="9"/>
      <c r="P11" s="38">
        <f t="shared" ref="P11:P13" si="3">IFERROR(ROUND(N11/O11,9),0)</f>
        <v>0</v>
      </c>
      <c r="Q11" s="54"/>
      <c r="R11" s="44"/>
    </row>
    <row r="12" spans="1:18" ht="120" x14ac:dyDescent="0.25">
      <c r="A12" s="9">
        <v>3</v>
      </c>
      <c r="B12" s="10" t="s">
        <v>4</v>
      </c>
      <c r="C12" s="43"/>
      <c r="D12" s="9"/>
      <c r="E12" s="38">
        <f t="shared" si="1"/>
        <v>0</v>
      </c>
      <c r="F12" s="9" t="s">
        <v>28</v>
      </c>
      <c r="G12" s="38">
        <f t="shared" si="2"/>
        <v>0</v>
      </c>
      <c r="H12" s="9" t="s">
        <v>28</v>
      </c>
      <c r="I12" s="54"/>
      <c r="J12" s="9"/>
      <c r="K12" s="9"/>
      <c r="L12" s="9"/>
      <c r="M12" s="44"/>
      <c r="N12" s="43"/>
      <c r="O12" s="9"/>
      <c r="P12" s="38">
        <f t="shared" si="3"/>
        <v>0</v>
      </c>
      <c r="Q12" s="54"/>
      <c r="R12" s="44"/>
    </row>
    <row r="13" spans="1:18" ht="132" x14ac:dyDescent="0.25">
      <c r="A13" s="9">
        <v>4</v>
      </c>
      <c r="B13" s="10" t="s">
        <v>5</v>
      </c>
      <c r="C13" s="43"/>
      <c r="D13" s="9"/>
      <c r="E13" s="38">
        <f t="shared" si="1"/>
        <v>0</v>
      </c>
      <c r="F13" s="9" t="s">
        <v>28</v>
      </c>
      <c r="G13" s="38">
        <f t="shared" si="2"/>
        <v>0</v>
      </c>
      <c r="H13" s="9" t="s">
        <v>28</v>
      </c>
      <c r="I13" s="54"/>
      <c r="J13" s="9"/>
      <c r="K13" s="9"/>
      <c r="L13" s="9"/>
      <c r="M13" s="44"/>
      <c r="N13" s="43"/>
      <c r="O13" s="9"/>
      <c r="P13" s="38">
        <f t="shared" si="3"/>
        <v>0</v>
      </c>
      <c r="Q13" s="54"/>
      <c r="R13" s="44"/>
    </row>
    <row r="14" spans="1:18" ht="114.75" customHeight="1" x14ac:dyDescent="0.25">
      <c r="A14" s="9">
        <v>5</v>
      </c>
      <c r="B14" s="10" t="s">
        <v>6</v>
      </c>
      <c r="C14" s="43"/>
      <c r="D14" s="9"/>
      <c r="E14" s="38">
        <f t="shared" si="1"/>
        <v>0</v>
      </c>
      <c r="F14" s="9" t="s">
        <v>28</v>
      </c>
      <c r="G14" s="38">
        <f t="shared" si="2"/>
        <v>0</v>
      </c>
      <c r="H14" s="9" t="s">
        <v>28</v>
      </c>
      <c r="I14" s="54"/>
      <c r="J14" s="9"/>
      <c r="K14" s="9"/>
      <c r="L14" s="9"/>
      <c r="M14" s="44"/>
      <c r="N14" s="43"/>
      <c r="O14" s="9"/>
      <c r="P14" s="38">
        <f t="shared" ref="P14" si="4">IFERROR(ROUND(N14/O14,9),0)</f>
        <v>0</v>
      </c>
      <c r="Q14" s="54"/>
      <c r="R14" s="44"/>
    </row>
    <row r="15" spans="1:18" s="32" customFormat="1" ht="60" x14ac:dyDescent="0.25">
      <c r="A15" s="30">
        <v>6</v>
      </c>
      <c r="B15" s="31" t="s">
        <v>7</v>
      </c>
      <c r="C15" s="46"/>
      <c r="D15" s="30"/>
      <c r="E15" s="39">
        <f t="shared" si="1"/>
        <v>0</v>
      </c>
      <c r="F15" s="30">
        <v>0.95</v>
      </c>
      <c r="G15" s="30" t="s">
        <v>28</v>
      </c>
      <c r="H15" s="39">
        <f>IFERROR(ROUND(E15/F15,9),0)</f>
        <v>0</v>
      </c>
      <c r="I15" s="55"/>
      <c r="J15" s="30" t="s">
        <v>28</v>
      </c>
      <c r="K15" s="30"/>
      <c r="L15" s="30"/>
      <c r="M15" s="48"/>
      <c r="N15" s="30" t="s">
        <v>28</v>
      </c>
      <c r="O15" s="30" t="s">
        <v>28</v>
      </c>
      <c r="P15" s="30" t="s">
        <v>28</v>
      </c>
      <c r="Q15" s="55" t="s">
        <v>28</v>
      </c>
      <c r="R15" s="48"/>
    </row>
    <row r="16" spans="1:18" ht="132" x14ac:dyDescent="0.25">
      <c r="A16" s="9">
        <v>7</v>
      </c>
      <c r="B16" s="10" t="s">
        <v>8</v>
      </c>
      <c r="C16" s="43"/>
      <c r="D16" s="9"/>
      <c r="E16" s="38">
        <f t="shared" si="1"/>
        <v>0</v>
      </c>
      <c r="F16" s="9" t="s">
        <v>28</v>
      </c>
      <c r="G16" s="38">
        <f t="shared" si="2"/>
        <v>0</v>
      </c>
      <c r="H16" s="9" t="s">
        <v>28</v>
      </c>
      <c r="I16" s="54"/>
      <c r="J16" s="9"/>
      <c r="K16" s="9"/>
      <c r="L16" s="9"/>
      <c r="M16" s="44"/>
      <c r="N16" s="43"/>
      <c r="O16" s="9"/>
      <c r="P16" s="38">
        <f t="shared" ref="P16" si="5">IFERROR(ROUND(N16/O16,9),0)</f>
        <v>0</v>
      </c>
      <c r="Q16" s="54"/>
      <c r="R16" s="44"/>
    </row>
    <row r="17" spans="1:18" ht="144" x14ac:dyDescent="0.25">
      <c r="A17" s="9">
        <v>8</v>
      </c>
      <c r="B17" s="10" t="s">
        <v>15</v>
      </c>
      <c r="C17" s="43"/>
      <c r="D17" s="9"/>
      <c r="E17" s="38">
        <f t="shared" si="1"/>
        <v>0</v>
      </c>
      <c r="F17" s="9" t="s">
        <v>28</v>
      </c>
      <c r="G17" s="38">
        <f t="shared" si="2"/>
        <v>0</v>
      </c>
      <c r="H17" s="9" t="s">
        <v>28</v>
      </c>
      <c r="I17" s="54"/>
      <c r="J17" s="9"/>
      <c r="K17" s="9"/>
      <c r="L17" s="9"/>
      <c r="M17" s="44"/>
      <c r="N17" s="43"/>
      <c r="O17" s="9"/>
      <c r="P17" s="38">
        <f t="shared" ref="P17" si="6">IFERROR(ROUND(N17/O17,9),0)</f>
        <v>0</v>
      </c>
      <c r="Q17" s="54"/>
      <c r="R17" s="44"/>
    </row>
    <row r="18" spans="1:18" ht="108" x14ac:dyDescent="0.25">
      <c r="A18" s="9">
        <v>9</v>
      </c>
      <c r="B18" s="10" t="s">
        <v>14</v>
      </c>
      <c r="C18" s="43"/>
      <c r="D18" s="9"/>
      <c r="E18" s="38">
        <f t="shared" si="1"/>
        <v>0</v>
      </c>
      <c r="F18" s="9">
        <v>0.8</v>
      </c>
      <c r="G18" s="9" t="s">
        <v>28</v>
      </c>
      <c r="H18" s="9"/>
      <c r="I18" s="54"/>
      <c r="J18" s="9" t="s">
        <v>28</v>
      </c>
      <c r="K18" s="9"/>
      <c r="L18" s="9"/>
      <c r="M18" s="44"/>
      <c r="N18" s="9" t="s">
        <v>28</v>
      </c>
      <c r="O18" s="9" t="s">
        <v>28</v>
      </c>
      <c r="P18" s="9" t="s">
        <v>28</v>
      </c>
      <c r="Q18" s="54" t="s">
        <v>28</v>
      </c>
      <c r="R18" s="44"/>
    </row>
    <row r="19" spans="1:18" ht="120" x14ac:dyDescent="0.25">
      <c r="A19" s="9">
        <v>10</v>
      </c>
      <c r="B19" s="10" t="s">
        <v>13</v>
      </c>
      <c r="C19" s="43"/>
      <c r="D19" s="9"/>
      <c r="E19" s="38">
        <f t="shared" si="1"/>
        <v>0</v>
      </c>
      <c r="F19" s="9">
        <v>0.8</v>
      </c>
      <c r="G19" s="9" t="s">
        <v>28</v>
      </c>
      <c r="H19" s="9"/>
      <c r="I19" s="54"/>
      <c r="J19" s="9" t="s">
        <v>28</v>
      </c>
      <c r="K19" s="9"/>
      <c r="L19" s="9"/>
      <c r="M19" s="44"/>
      <c r="N19" s="9" t="s">
        <v>28</v>
      </c>
      <c r="O19" s="9" t="s">
        <v>28</v>
      </c>
      <c r="P19" s="9" t="s">
        <v>28</v>
      </c>
      <c r="Q19" s="54" t="s">
        <v>28</v>
      </c>
      <c r="R19" s="44"/>
    </row>
    <row r="20" spans="1:18" ht="96" x14ac:dyDescent="0.25">
      <c r="A20" s="9">
        <v>11</v>
      </c>
      <c r="B20" s="10" t="s">
        <v>12</v>
      </c>
      <c r="C20" s="43"/>
      <c r="D20" s="9"/>
      <c r="E20" s="38">
        <f t="shared" si="1"/>
        <v>0</v>
      </c>
      <c r="F20" s="9">
        <v>0.8</v>
      </c>
      <c r="G20" s="9" t="s">
        <v>28</v>
      </c>
      <c r="H20" s="9"/>
      <c r="I20" s="54"/>
      <c r="J20" s="9" t="s">
        <v>28</v>
      </c>
      <c r="K20" s="9"/>
      <c r="L20" s="9"/>
      <c r="M20" s="44"/>
      <c r="N20" s="9" t="s">
        <v>28</v>
      </c>
      <c r="O20" s="9" t="s">
        <v>28</v>
      </c>
      <c r="P20" s="9" t="s">
        <v>28</v>
      </c>
      <c r="Q20" s="54" t="s">
        <v>28</v>
      </c>
      <c r="R20" s="44"/>
    </row>
    <row r="21" spans="1:18" ht="132" x14ac:dyDescent="0.25">
      <c r="A21" s="9">
        <v>12</v>
      </c>
      <c r="B21" s="10" t="s">
        <v>11</v>
      </c>
      <c r="C21" s="43"/>
      <c r="D21" s="9"/>
      <c r="E21" s="38">
        <f t="shared" si="1"/>
        <v>0</v>
      </c>
      <c r="F21" s="9" t="s">
        <v>28</v>
      </c>
      <c r="G21" s="38">
        <f t="shared" ref="G21:G23" si="7">IFERROR(ROUND((E21/P21*100-100),9),0)</f>
        <v>0</v>
      </c>
      <c r="H21" s="9" t="s">
        <v>28</v>
      </c>
      <c r="I21" s="54"/>
      <c r="J21" s="9"/>
      <c r="K21" s="9"/>
      <c r="L21" s="9"/>
      <c r="M21" s="44"/>
      <c r="N21" s="43"/>
      <c r="O21" s="9"/>
      <c r="P21" s="38">
        <f t="shared" ref="P21:P22" si="8">IFERROR(ROUND(N21/O21,9),0)</f>
        <v>0</v>
      </c>
      <c r="Q21" s="54"/>
      <c r="R21" s="44"/>
    </row>
    <row r="22" spans="1:18" ht="132" x14ac:dyDescent="0.25">
      <c r="A22" s="9">
        <v>13</v>
      </c>
      <c r="B22" s="10" t="s">
        <v>10</v>
      </c>
      <c r="C22" s="43"/>
      <c r="D22" s="9"/>
      <c r="E22" s="38">
        <f t="shared" si="1"/>
        <v>0</v>
      </c>
      <c r="F22" s="9" t="s">
        <v>28</v>
      </c>
      <c r="G22" s="38">
        <f t="shared" si="7"/>
        <v>0</v>
      </c>
      <c r="H22" s="9" t="s">
        <v>28</v>
      </c>
      <c r="I22" s="54"/>
      <c r="J22" s="9"/>
      <c r="K22" s="9"/>
      <c r="L22" s="9"/>
      <c r="M22" s="44"/>
      <c r="N22" s="43"/>
      <c r="O22" s="9"/>
      <c r="P22" s="38">
        <f t="shared" si="8"/>
        <v>0</v>
      </c>
      <c r="Q22" s="54"/>
      <c r="R22" s="44"/>
    </row>
    <row r="23" spans="1:18" ht="132" x14ac:dyDescent="0.25">
      <c r="A23" s="9">
        <v>14</v>
      </c>
      <c r="B23" s="12" t="s">
        <v>9</v>
      </c>
      <c r="C23" s="43"/>
      <c r="D23" s="9"/>
      <c r="E23" s="38">
        <f>IFERROR(ROUND(C23/D23,9),0)</f>
        <v>0</v>
      </c>
      <c r="F23" s="9" t="s">
        <v>28</v>
      </c>
      <c r="G23" s="38">
        <f t="shared" si="7"/>
        <v>0</v>
      </c>
      <c r="H23" s="9" t="s">
        <v>28</v>
      </c>
      <c r="I23" s="54"/>
      <c r="J23" s="9"/>
      <c r="K23" s="9"/>
      <c r="L23" s="9"/>
      <c r="M23" s="44"/>
      <c r="N23" s="43"/>
      <c r="O23" s="9"/>
      <c r="P23" s="38">
        <f>IFERROR(ROUND(N23/O23,9),0)</f>
        <v>0</v>
      </c>
      <c r="Q23" s="54"/>
      <c r="R23" s="44"/>
    </row>
    <row r="24" spans="1:18" x14ac:dyDescent="0.25">
      <c r="A24" s="13"/>
      <c r="B24" s="14"/>
      <c r="C24" s="476" t="s">
        <v>57</v>
      </c>
      <c r="D24" s="476"/>
      <c r="E24" s="476"/>
      <c r="F24" s="476"/>
      <c r="G24" s="476"/>
      <c r="H24" s="476"/>
      <c r="I24" s="476"/>
      <c r="J24" s="476"/>
      <c r="K24" s="476"/>
      <c r="L24" s="476"/>
      <c r="M24" s="476"/>
      <c r="N24" s="476"/>
      <c r="O24" s="476"/>
      <c r="P24" s="476"/>
      <c r="Q24" s="476"/>
      <c r="R24" s="477"/>
    </row>
    <row r="25" spans="1:18" s="32" customFormat="1" ht="36" x14ac:dyDescent="0.25">
      <c r="A25" s="30">
        <v>15</v>
      </c>
      <c r="B25" s="33" t="s">
        <v>16</v>
      </c>
      <c r="C25" s="46"/>
      <c r="D25" s="30"/>
      <c r="E25" s="39">
        <f t="shared" ref="E25:E30" si="9">IFERROR(ROUND(C25/D25,9),0)</f>
        <v>0</v>
      </c>
      <c r="F25" s="30"/>
      <c r="G25" s="30" t="s">
        <v>28</v>
      </c>
      <c r="H25" s="30"/>
      <c r="I25" s="55"/>
      <c r="J25" s="30" t="s">
        <v>28</v>
      </c>
      <c r="K25" s="30"/>
      <c r="L25" s="30"/>
      <c r="M25" s="48"/>
      <c r="N25" s="30" t="s">
        <v>28</v>
      </c>
      <c r="O25" s="30" t="s">
        <v>28</v>
      </c>
      <c r="P25" s="30" t="s">
        <v>28</v>
      </c>
      <c r="Q25" s="55" t="s">
        <v>28</v>
      </c>
      <c r="R25" s="48"/>
    </row>
    <row r="26" spans="1:18" ht="108" x14ac:dyDescent="0.25">
      <c r="A26" s="9">
        <v>16</v>
      </c>
      <c r="B26" s="12" t="s">
        <v>17</v>
      </c>
      <c r="C26" s="43"/>
      <c r="D26" s="9"/>
      <c r="E26" s="45">
        <f t="shared" si="9"/>
        <v>0</v>
      </c>
      <c r="F26" s="9">
        <v>0.7</v>
      </c>
      <c r="G26" s="9" t="s">
        <v>28</v>
      </c>
      <c r="H26" s="38">
        <f t="shared" ref="H26:H30" si="10">IFERROR(ROUND(E26/F26,9),0)</f>
        <v>0</v>
      </c>
      <c r="I26" s="54"/>
      <c r="J26" s="9" t="s">
        <v>28</v>
      </c>
      <c r="K26" s="9"/>
      <c r="L26" s="9"/>
      <c r="M26" s="44"/>
      <c r="N26" s="9" t="s">
        <v>28</v>
      </c>
      <c r="O26" s="9" t="s">
        <v>28</v>
      </c>
      <c r="P26" s="9" t="s">
        <v>28</v>
      </c>
      <c r="Q26" s="54" t="s">
        <v>28</v>
      </c>
      <c r="R26" s="44"/>
    </row>
    <row r="27" spans="1:18" ht="96" x14ac:dyDescent="0.25">
      <c r="A27" s="9">
        <v>17</v>
      </c>
      <c r="B27" s="12" t="s">
        <v>18</v>
      </c>
      <c r="C27" s="43"/>
      <c r="D27" s="9"/>
      <c r="E27" s="45">
        <f t="shared" si="9"/>
        <v>0</v>
      </c>
      <c r="F27" s="9">
        <v>0.7</v>
      </c>
      <c r="G27" s="9" t="s">
        <v>28</v>
      </c>
      <c r="H27" s="38">
        <f t="shared" si="10"/>
        <v>0</v>
      </c>
      <c r="I27" s="54"/>
      <c r="J27" s="9" t="s">
        <v>28</v>
      </c>
      <c r="K27" s="9"/>
      <c r="L27" s="9"/>
      <c r="M27" s="44"/>
      <c r="N27" s="9" t="s">
        <v>28</v>
      </c>
      <c r="O27" s="9" t="s">
        <v>28</v>
      </c>
      <c r="P27" s="9" t="s">
        <v>28</v>
      </c>
      <c r="Q27" s="54" t="s">
        <v>28</v>
      </c>
      <c r="R27" s="44"/>
    </row>
    <row r="28" spans="1:18" ht="96" x14ac:dyDescent="0.25">
      <c r="A28" s="9">
        <v>18</v>
      </c>
      <c r="B28" s="12" t="s">
        <v>19</v>
      </c>
      <c r="C28" s="43"/>
      <c r="D28" s="9"/>
      <c r="E28" s="45">
        <f t="shared" si="9"/>
        <v>0</v>
      </c>
      <c r="F28" s="9">
        <v>0.7</v>
      </c>
      <c r="G28" s="9" t="s">
        <v>28</v>
      </c>
      <c r="H28" s="38">
        <f t="shared" si="10"/>
        <v>0</v>
      </c>
      <c r="I28" s="54"/>
      <c r="J28" s="9" t="s">
        <v>28</v>
      </c>
      <c r="K28" s="9"/>
      <c r="L28" s="9"/>
      <c r="M28" s="44"/>
      <c r="N28" s="9" t="s">
        <v>28</v>
      </c>
      <c r="O28" s="9" t="s">
        <v>28</v>
      </c>
      <c r="P28" s="9" t="s">
        <v>28</v>
      </c>
      <c r="Q28" s="54" t="s">
        <v>28</v>
      </c>
      <c r="R28" s="44"/>
    </row>
    <row r="29" spans="1:18" ht="96" x14ac:dyDescent="0.25">
      <c r="A29" s="9">
        <v>19</v>
      </c>
      <c r="B29" s="12" t="s">
        <v>20</v>
      </c>
      <c r="C29" s="43"/>
      <c r="D29" s="9"/>
      <c r="E29" s="45">
        <f t="shared" si="9"/>
        <v>0</v>
      </c>
      <c r="F29" s="9">
        <v>0.7</v>
      </c>
      <c r="G29" s="9" t="s">
        <v>28</v>
      </c>
      <c r="H29" s="38">
        <f t="shared" si="10"/>
        <v>0</v>
      </c>
      <c r="I29" s="54"/>
      <c r="J29" s="9" t="s">
        <v>28</v>
      </c>
      <c r="K29" s="9"/>
      <c r="L29" s="9"/>
      <c r="M29" s="44"/>
      <c r="N29" s="9" t="s">
        <v>28</v>
      </c>
      <c r="O29" s="9" t="s">
        <v>28</v>
      </c>
      <c r="P29" s="9" t="s">
        <v>28</v>
      </c>
      <c r="Q29" s="54" t="s">
        <v>28</v>
      </c>
      <c r="R29" s="44"/>
    </row>
    <row r="30" spans="1:18" ht="132" x14ac:dyDescent="0.25">
      <c r="A30" s="9">
        <v>20</v>
      </c>
      <c r="B30" s="12" t="s">
        <v>21</v>
      </c>
      <c r="C30" s="43"/>
      <c r="D30" s="9"/>
      <c r="E30" s="45">
        <f t="shared" si="9"/>
        <v>0</v>
      </c>
      <c r="F30" s="9">
        <v>0.7</v>
      </c>
      <c r="G30" s="9" t="s">
        <v>28</v>
      </c>
      <c r="H30" s="38">
        <f t="shared" si="10"/>
        <v>0</v>
      </c>
      <c r="I30" s="54"/>
      <c r="J30" s="9" t="s">
        <v>28</v>
      </c>
      <c r="K30" s="9"/>
      <c r="L30" s="9"/>
      <c r="M30" s="44"/>
      <c r="N30" s="9" t="s">
        <v>28</v>
      </c>
      <c r="O30" s="9" t="s">
        <v>28</v>
      </c>
      <c r="P30" s="9" t="s">
        <v>28</v>
      </c>
      <c r="Q30" s="54" t="s">
        <v>28</v>
      </c>
      <c r="R30" s="44"/>
    </row>
    <row r="31" spans="1:18" x14ac:dyDescent="0.25">
      <c r="A31" s="13"/>
      <c r="B31" s="14"/>
      <c r="C31" s="476" t="s">
        <v>58</v>
      </c>
      <c r="D31" s="476"/>
      <c r="E31" s="476"/>
      <c r="F31" s="476"/>
      <c r="G31" s="476"/>
      <c r="H31" s="476"/>
      <c r="I31" s="476"/>
      <c r="J31" s="476"/>
      <c r="K31" s="476"/>
      <c r="L31" s="476"/>
      <c r="M31" s="476"/>
      <c r="N31" s="476"/>
      <c r="O31" s="476"/>
      <c r="P31" s="476"/>
      <c r="Q31" s="476"/>
      <c r="R31" s="477"/>
    </row>
    <row r="32" spans="1:18" s="32" customFormat="1" ht="60" x14ac:dyDescent="0.25">
      <c r="A32" s="30">
        <v>21</v>
      </c>
      <c r="B32" s="31" t="s">
        <v>22</v>
      </c>
      <c r="C32" s="46"/>
      <c r="D32" s="30"/>
      <c r="E32" s="47">
        <f t="shared" ref="E32:E36" si="11">IFERROR(ROUND(C32/D32,9),0)</f>
        <v>0</v>
      </c>
      <c r="F32" s="30" t="s">
        <v>28</v>
      </c>
      <c r="G32" s="39">
        <f t="shared" ref="G32:G35" si="12">IFERROR(ROUND((E32/P32*100-100),9),0)</f>
        <v>0</v>
      </c>
      <c r="H32" s="30" t="s">
        <v>28</v>
      </c>
      <c r="I32" s="55"/>
      <c r="J32" s="30"/>
      <c r="K32" s="30"/>
      <c r="L32" s="30"/>
      <c r="M32" s="48"/>
      <c r="N32" s="46"/>
      <c r="O32" s="30"/>
      <c r="P32" s="39">
        <f>IFERROR(ROUND(N32/O32,9),0)</f>
        <v>0</v>
      </c>
      <c r="Q32" s="55"/>
      <c r="R32" s="48"/>
    </row>
    <row r="33" spans="1:18" s="32" customFormat="1" ht="84" x14ac:dyDescent="0.25">
      <c r="A33" s="30">
        <v>22</v>
      </c>
      <c r="B33" s="31" t="s">
        <v>23</v>
      </c>
      <c r="C33" s="46"/>
      <c r="D33" s="30"/>
      <c r="E33" s="47">
        <f t="shared" si="11"/>
        <v>0</v>
      </c>
      <c r="F33" s="30">
        <v>0.01</v>
      </c>
      <c r="G33" s="30" t="s">
        <v>28</v>
      </c>
      <c r="H33" s="39">
        <f t="shared" ref="H33" si="13">IFERROR(ROUND(E33/F33,9),0)</f>
        <v>0</v>
      </c>
      <c r="I33" s="55"/>
      <c r="J33" s="30" t="s">
        <v>28</v>
      </c>
      <c r="K33" s="30"/>
      <c r="L33" s="30"/>
      <c r="M33" s="48"/>
      <c r="N33" s="30" t="s">
        <v>28</v>
      </c>
      <c r="O33" s="30" t="s">
        <v>28</v>
      </c>
      <c r="P33" s="30" t="s">
        <v>28</v>
      </c>
      <c r="Q33" s="55" t="s">
        <v>28</v>
      </c>
      <c r="R33" s="48"/>
    </row>
    <row r="34" spans="1:18" ht="108" x14ac:dyDescent="0.25">
      <c r="A34" s="9">
        <v>23</v>
      </c>
      <c r="B34" s="10" t="s">
        <v>24</v>
      </c>
      <c r="C34" s="43"/>
      <c r="D34" s="9"/>
      <c r="E34" s="45">
        <f t="shared" si="11"/>
        <v>0</v>
      </c>
      <c r="F34" s="9" t="s">
        <v>28</v>
      </c>
      <c r="G34" s="38">
        <f t="shared" si="12"/>
        <v>0</v>
      </c>
      <c r="H34" s="9" t="s">
        <v>28</v>
      </c>
      <c r="I34" s="54"/>
      <c r="J34" s="9"/>
      <c r="K34" s="9"/>
      <c r="L34" s="9"/>
      <c r="M34" s="44"/>
      <c r="N34" s="43"/>
      <c r="O34" s="9"/>
      <c r="P34" s="38">
        <f>IFERROR(ROUND(N34/O34,9),0)</f>
        <v>0</v>
      </c>
      <c r="Q34" s="54"/>
      <c r="R34" s="44"/>
    </row>
    <row r="35" spans="1:18" ht="108" x14ac:dyDescent="0.25">
      <c r="A35" s="9">
        <v>24</v>
      </c>
      <c r="B35" s="10" t="s">
        <v>25</v>
      </c>
      <c r="C35" s="43"/>
      <c r="D35" s="9"/>
      <c r="E35" s="45">
        <f t="shared" si="11"/>
        <v>0</v>
      </c>
      <c r="F35" s="9" t="s">
        <v>28</v>
      </c>
      <c r="G35" s="38">
        <f t="shared" si="12"/>
        <v>0</v>
      </c>
      <c r="H35" s="9" t="s">
        <v>28</v>
      </c>
      <c r="I35" s="54"/>
      <c r="J35" s="9"/>
      <c r="K35" s="9"/>
      <c r="L35" s="9"/>
      <c r="M35" s="44"/>
      <c r="N35" s="43"/>
      <c r="O35" s="9"/>
      <c r="P35" s="38">
        <f>IFERROR(ROUND(N35/O35,9),0)</f>
        <v>0</v>
      </c>
      <c r="Q35" s="54"/>
      <c r="R35" s="44"/>
    </row>
    <row r="36" spans="1:18" s="32" customFormat="1" ht="84" x14ac:dyDescent="0.25">
      <c r="A36" s="30">
        <v>25</v>
      </c>
      <c r="B36" s="31" t="s">
        <v>26</v>
      </c>
      <c r="C36" s="46"/>
      <c r="D36" s="30"/>
      <c r="E36" s="47">
        <f t="shared" si="11"/>
        <v>0</v>
      </c>
      <c r="F36" s="30">
        <v>0.89</v>
      </c>
      <c r="G36" s="30" t="s">
        <v>28</v>
      </c>
      <c r="H36" s="39">
        <f t="shared" ref="H36:H38" si="14">IFERROR(ROUND(E36/F36,9),0)</f>
        <v>0</v>
      </c>
      <c r="I36" s="55"/>
      <c r="J36" s="30" t="s">
        <v>28</v>
      </c>
      <c r="K36" s="30"/>
      <c r="L36" s="30"/>
      <c r="M36" s="48"/>
      <c r="N36" s="30" t="s">
        <v>28</v>
      </c>
      <c r="O36" s="30" t="s">
        <v>28</v>
      </c>
      <c r="P36" s="30" t="s">
        <v>28</v>
      </c>
      <c r="Q36" s="55" t="s">
        <v>28</v>
      </c>
      <c r="R36" s="48"/>
    </row>
    <row r="37" spans="1:18" x14ac:dyDescent="0.25">
      <c r="A37" s="15"/>
      <c r="B37" s="16"/>
      <c r="C37" s="476" t="s">
        <v>59</v>
      </c>
      <c r="D37" s="476"/>
      <c r="E37" s="476"/>
      <c r="F37" s="476"/>
      <c r="G37" s="476"/>
      <c r="H37" s="476"/>
      <c r="I37" s="476"/>
      <c r="J37" s="476"/>
      <c r="K37" s="476"/>
      <c r="L37" s="476"/>
      <c r="M37" s="476"/>
      <c r="N37" s="476"/>
      <c r="O37" s="476"/>
      <c r="P37" s="476"/>
      <c r="Q37" s="476"/>
      <c r="R37" s="477"/>
    </row>
    <row r="38" spans="1:18" s="37" customFormat="1" ht="36" x14ac:dyDescent="0.25">
      <c r="A38" s="34">
        <v>26</v>
      </c>
      <c r="B38" s="35" t="s">
        <v>40</v>
      </c>
      <c r="C38" s="42"/>
      <c r="D38" s="34"/>
      <c r="E38" s="49">
        <f>IFERROR(ROUND(C38/D38,9),0)</f>
        <v>0</v>
      </c>
      <c r="F38" s="34">
        <v>1</v>
      </c>
      <c r="G38" s="34" t="s">
        <v>28</v>
      </c>
      <c r="H38" s="40">
        <f t="shared" si="14"/>
        <v>0</v>
      </c>
      <c r="I38" s="56"/>
      <c r="J38" s="34"/>
      <c r="K38" s="34"/>
      <c r="L38" s="34"/>
      <c r="M38" s="41"/>
      <c r="N38" s="42" t="s">
        <v>28</v>
      </c>
      <c r="O38" s="34" t="s">
        <v>28</v>
      </c>
      <c r="P38" s="34" t="s">
        <v>28</v>
      </c>
      <c r="Q38" s="56" t="s">
        <v>28</v>
      </c>
      <c r="R38" s="41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376" t="s">
        <v>37</v>
      </c>
      <c r="B48" s="376"/>
      <c r="C48" s="376"/>
      <c r="D48" s="376"/>
      <c r="E48" s="376"/>
      <c r="F48" s="376"/>
      <c r="G48" s="376"/>
      <c r="H48" s="376"/>
      <c r="I48" s="376"/>
      <c r="J48" s="376"/>
      <c r="K48" s="376"/>
      <c r="L48" s="376"/>
      <c r="M48" s="376"/>
      <c r="N48" s="376"/>
      <c r="O48" s="376"/>
      <c r="P48" s="376"/>
      <c r="Q48" s="376"/>
      <c r="R48" s="376"/>
    </row>
    <row r="49" spans="1:18" ht="19.5" customHeight="1" x14ac:dyDescent="0.25">
      <c r="A49" s="373" t="s">
        <v>38</v>
      </c>
      <c r="B49" s="374"/>
      <c r="C49" s="374"/>
      <c r="D49" s="374"/>
      <c r="E49" s="374"/>
      <c r="F49" s="374"/>
      <c r="G49" s="374"/>
      <c r="H49" s="374"/>
      <c r="I49" s="374"/>
      <c r="J49" s="374"/>
      <c r="K49" s="374"/>
      <c r="L49" s="374"/>
      <c r="M49" s="374"/>
      <c r="N49" s="374"/>
      <c r="O49" s="374"/>
      <c r="P49" s="374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</sheetData>
  <autoFilter ref="A8:R50"/>
  <mergeCells count="28">
    <mergeCell ref="A49:P49"/>
    <mergeCell ref="Q3:Q5"/>
    <mergeCell ref="A48:R48"/>
    <mergeCell ref="C37:R37"/>
    <mergeCell ref="C6:R6"/>
    <mergeCell ref="C9:R9"/>
    <mergeCell ref="C24:R24"/>
    <mergeCell ref="C31:R31"/>
    <mergeCell ref="F3:F5"/>
    <mergeCell ref="J3:J5"/>
    <mergeCell ref="K3:K5"/>
    <mergeCell ref="H3:H5"/>
    <mergeCell ref="O3:O5"/>
    <mergeCell ref="P3:P5"/>
    <mergeCell ref="A1:R1"/>
    <mergeCell ref="L3:L5"/>
    <mergeCell ref="M3:M5"/>
    <mergeCell ref="N3:N5"/>
    <mergeCell ref="C2:M2"/>
    <mergeCell ref="C3:C5"/>
    <mergeCell ref="D3:D5"/>
    <mergeCell ref="E3:E5"/>
    <mergeCell ref="R3:R5"/>
    <mergeCell ref="N2:R2"/>
    <mergeCell ref="G3:G5"/>
    <mergeCell ref="I3:I5"/>
    <mergeCell ref="A2:A7"/>
    <mergeCell ref="B2:B7"/>
  </mergeCells>
  <pageMargins left="0.11811023622047245" right="0.11811023622047245" top="0.35433070866141736" bottom="0.35433070866141736" header="0.31496062992125984" footer="0.31496062992125984"/>
  <pageSetup paperSize="8" scale="63" fitToHeight="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2"/>
  <sheetViews>
    <sheetView view="pageBreakPreview" topLeftCell="G1" zoomScale="70" zoomScaleNormal="70" zoomScaleSheetLayoutView="70" workbookViewId="0">
      <selection activeCell="R4" sqref="R4"/>
    </sheetView>
  </sheetViews>
  <sheetFormatPr defaultColWidth="9.140625" defaultRowHeight="15" x14ac:dyDescent="0.25"/>
  <cols>
    <col min="1" max="1" width="9.42578125" style="192" customWidth="1"/>
    <col min="2" max="2" width="28.42578125" style="193" customWidth="1"/>
    <col min="3" max="3" width="16" style="194" customWidth="1"/>
    <col min="4" max="4" width="16.7109375" style="195" customWidth="1"/>
    <col min="5" max="5" width="24.28515625" style="195" customWidth="1"/>
    <col min="6" max="8" width="19.85546875" style="195" customWidth="1"/>
    <col min="9" max="9" width="19.85546875" style="196" customWidth="1"/>
    <col min="10" max="11" width="19.85546875" style="195" customWidth="1"/>
    <col min="12" max="12" width="18" style="195" customWidth="1"/>
    <col min="13" max="13" width="13.7109375" style="195" customWidth="1"/>
    <col min="14" max="14" width="16" style="195" customWidth="1"/>
    <col min="15" max="15" width="16.7109375" style="195" customWidth="1"/>
    <col min="16" max="16" width="24.28515625" style="195" customWidth="1"/>
    <col min="17" max="17" width="19.85546875" style="196" customWidth="1"/>
    <col min="18" max="18" width="13.140625" style="195" customWidth="1"/>
    <col min="19" max="21" width="9.140625" style="195"/>
    <col min="22" max="22" width="11" style="195" customWidth="1"/>
    <col min="23" max="16384" width="9.140625" style="195"/>
  </cols>
  <sheetData>
    <row r="1" spans="1:23" ht="16.5" x14ac:dyDescent="0.25">
      <c r="R1" s="111" t="s">
        <v>80</v>
      </c>
    </row>
    <row r="2" spans="1:23" ht="16.5" x14ac:dyDescent="0.25">
      <c r="R2" s="112" t="s">
        <v>79</v>
      </c>
    </row>
    <row r="3" spans="1:23" ht="16.5" x14ac:dyDescent="0.25">
      <c r="R3" s="97" t="s">
        <v>220</v>
      </c>
    </row>
    <row r="4" spans="1:23" ht="16.5" x14ac:dyDescent="0.25">
      <c r="Q4" s="112"/>
    </row>
    <row r="5" spans="1:23" ht="15.75" x14ac:dyDescent="0.25">
      <c r="R5" s="113" t="s">
        <v>83</v>
      </c>
    </row>
    <row r="6" spans="1:23" ht="25.5" customHeight="1" thickBot="1" x14ac:dyDescent="0.3">
      <c r="A6" s="381" t="str">
        <f>СВОД!A1</f>
        <v xml:space="preserve">Мониторинг достижения значений показателей результативности деятельности за декабрь 2023 –  май 2024 года </v>
      </c>
      <c r="B6" s="381"/>
      <c r="C6" s="381"/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1"/>
      <c r="R6" s="381"/>
    </row>
    <row r="7" spans="1:23" s="197" customFormat="1" ht="21.75" customHeight="1" x14ac:dyDescent="0.25">
      <c r="A7" s="382" t="s">
        <v>55</v>
      </c>
      <c r="B7" s="385" t="s">
        <v>54</v>
      </c>
      <c r="C7" s="388" t="s">
        <v>52</v>
      </c>
      <c r="D7" s="388"/>
      <c r="E7" s="388"/>
      <c r="F7" s="388"/>
      <c r="G7" s="388"/>
      <c r="H7" s="388"/>
      <c r="I7" s="388"/>
      <c r="J7" s="388"/>
      <c r="K7" s="388"/>
      <c r="L7" s="388"/>
      <c r="M7" s="389"/>
      <c r="N7" s="390" t="s">
        <v>1</v>
      </c>
      <c r="O7" s="388"/>
      <c r="P7" s="388"/>
      <c r="Q7" s="388"/>
      <c r="R7" s="389"/>
    </row>
    <row r="8" spans="1:23" s="198" customFormat="1" ht="12" customHeight="1" x14ac:dyDescent="0.2">
      <c r="A8" s="383"/>
      <c r="B8" s="386"/>
      <c r="C8" s="391" t="s">
        <v>184</v>
      </c>
      <c r="D8" s="392" t="s">
        <v>185</v>
      </c>
      <c r="E8" s="392" t="s">
        <v>186</v>
      </c>
      <c r="F8" s="392" t="s">
        <v>187</v>
      </c>
      <c r="G8" s="392" t="s">
        <v>42</v>
      </c>
      <c r="H8" s="392" t="s">
        <v>43</v>
      </c>
      <c r="I8" s="396" t="s">
        <v>31</v>
      </c>
      <c r="J8" s="392" t="s">
        <v>29</v>
      </c>
      <c r="K8" s="392" t="s">
        <v>30</v>
      </c>
      <c r="L8" s="392" t="s">
        <v>32</v>
      </c>
      <c r="M8" s="393" t="s">
        <v>0</v>
      </c>
      <c r="N8" s="398" t="s">
        <v>184</v>
      </c>
      <c r="O8" s="392" t="s">
        <v>185</v>
      </c>
      <c r="P8" s="392" t="s">
        <v>186</v>
      </c>
      <c r="Q8" s="396" t="s">
        <v>31</v>
      </c>
      <c r="R8" s="393" t="s">
        <v>0</v>
      </c>
    </row>
    <row r="9" spans="1:23" s="198" customFormat="1" ht="12" customHeight="1" x14ac:dyDescent="0.2">
      <c r="A9" s="383"/>
      <c r="B9" s="386"/>
      <c r="C9" s="391"/>
      <c r="D9" s="392"/>
      <c r="E9" s="392"/>
      <c r="F9" s="392"/>
      <c r="G9" s="392"/>
      <c r="H9" s="392"/>
      <c r="I9" s="396"/>
      <c r="J9" s="392"/>
      <c r="K9" s="392"/>
      <c r="L9" s="392"/>
      <c r="M9" s="393"/>
      <c r="N9" s="398"/>
      <c r="O9" s="392"/>
      <c r="P9" s="392"/>
      <c r="Q9" s="396"/>
      <c r="R9" s="393"/>
    </row>
    <row r="10" spans="1:23" s="198" customFormat="1" ht="68.25" customHeight="1" x14ac:dyDescent="0.2">
      <c r="A10" s="383"/>
      <c r="B10" s="386"/>
      <c r="C10" s="391"/>
      <c r="D10" s="392"/>
      <c r="E10" s="392"/>
      <c r="F10" s="392"/>
      <c r="G10" s="392"/>
      <c r="H10" s="392"/>
      <c r="I10" s="396"/>
      <c r="J10" s="392"/>
      <c r="K10" s="392"/>
      <c r="L10" s="392"/>
      <c r="M10" s="393"/>
      <c r="N10" s="398"/>
      <c r="O10" s="392"/>
      <c r="P10" s="392"/>
      <c r="Q10" s="396"/>
      <c r="R10" s="393"/>
    </row>
    <row r="11" spans="1:23" s="198" customFormat="1" ht="15" customHeight="1" x14ac:dyDescent="0.2">
      <c r="A11" s="383"/>
      <c r="B11" s="386"/>
      <c r="C11" s="394" t="s">
        <v>27</v>
      </c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5"/>
    </row>
    <row r="12" spans="1:23" s="198" customFormat="1" ht="189.75" customHeight="1" x14ac:dyDescent="0.2">
      <c r="A12" s="384"/>
      <c r="B12" s="387"/>
      <c r="C12" s="199" t="s">
        <v>47</v>
      </c>
      <c r="D12" s="200" t="s">
        <v>47</v>
      </c>
      <c r="E12" s="200" t="s">
        <v>188</v>
      </c>
      <c r="F12" s="200" t="s">
        <v>189</v>
      </c>
      <c r="G12" s="200" t="s">
        <v>190</v>
      </c>
      <c r="H12" s="200" t="s">
        <v>191</v>
      </c>
      <c r="I12" s="201" t="s">
        <v>50</v>
      </c>
      <c r="J12" s="200" t="s">
        <v>44</v>
      </c>
      <c r="K12" s="200" t="s">
        <v>44</v>
      </c>
      <c r="L12" s="200" t="s">
        <v>192</v>
      </c>
      <c r="M12" s="202"/>
      <c r="N12" s="203" t="s">
        <v>47</v>
      </c>
      <c r="O12" s="200" t="s">
        <v>47</v>
      </c>
      <c r="P12" s="200" t="s">
        <v>193</v>
      </c>
      <c r="Q12" s="201" t="s">
        <v>45</v>
      </c>
      <c r="R12" s="202"/>
    </row>
    <row r="13" spans="1:23" s="196" customFormat="1" ht="14.25" x14ac:dyDescent="0.2">
      <c r="A13" s="204">
        <v>1</v>
      </c>
      <c r="B13" s="204">
        <v>2</v>
      </c>
      <c r="C13" s="205">
        <v>3</v>
      </c>
      <c r="D13" s="204">
        <v>4</v>
      </c>
      <c r="E13" s="205">
        <v>5</v>
      </c>
      <c r="F13" s="204">
        <v>6</v>
      </c>
      <c r="G13" s="205">
        <v>7</v>
      </c>
      <c r="H13" s="204">
        <v>8</v>
      </c>
      <c r="I13" s="205">
        <v>9</v>
      </c>
      <c r="J13" s="204">
        <v>10</v>
      </c>
      <c r="K13" s="205">
        <v>11</v>
      </c>
      <c r="L13" s="204">
        <v>12</v>
      </c>
      <c r="M13" s="205">
        <v>13</v>
      </c>
      <c r="N13" s="204">
        <v>14</v>
      </c>
      <c r="O13" s="205">
        <v>15</v>
      </c>
      <c r="P13" s="204">
        <v>16</v>
      </c>
      <c r="Q13" s="204">
        <v>17</v>
      </c>
      <c r="R13" s="204">
        <v>18</v>
      </c>
    </row>
    <row r="14" spans="1:23" ht="15" customHeight="1" x14ac:dyDescent="0.25">
      <c r="A14" s="187"/>
      <c r="B14" s="103"/>
      <c r="C14" s="399" t="s">
        <v>56</v>
      </c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400"/>
    </row>
    <row r="15" spans="1:23" ht="68.25" customHeight="1" x14ac:dyDescent="0.25">
      <c r="A15" s="206">
        <v>1</v>
      </c>
      <c r="B15" s="104" t="s">
        <v>2</v>
      </c>
      <c r="C15" s="207">
        <f>819+11422</f>
        <v>12241</v>
      </c>
      <c r="D15" s="208">
        <f>14021+390+63981</f>
        <v>78392</v>
      </c>
      <c r="E15" s="209">
        <f>IFERROR(ROUND(C15/D15,9),0)</f>
        <v>0.15615113799999999</v>
      </c>
      <c r="F15" s="210" t="s">
        <v>28</v>
      </c>
      <c r="G15" s="209">
        <f>IFERROR(ROUND((E15/P15*100-100),9),0)</f>
        <v>158.94987082099999</v>
      </c>
      <c r="H15" s="210" t="s">
        <v>28</v>
      </c>
      <c r="I15" s="211">
        <v>1</v>
      </c>
      <c r="J15" s="212">
        <v>1</v>
      </c>
      <c r="K15" s="212"/>
      <c r="L15" s="212">
        <v>1</v>
      </c>
      <c r="M15" s="213"/>
      <c r="N15" s="207">
        <f>511+(3619+869+98)</f>
        <v>5097</v>
      </c>
      <c r="O15" s="208">
        <f>14824+69701</f>
        <v>84525</v>
      </c>
      <c r="P15" s="209">
        <f t="shared" ref="P15:P19" si="0">IFERROR(ROUND(N15/O15,9),0)</f>
        <v>6.0301686E-2</v>
      </c>
      <c r="Q15" s="214">
        <v>0</v>
      </c>
      <c r="R15" s="213"/>
      <c r="T15" s="196">
        <f t="shared" ref="T15:T28" si="1">IF(L15&gt;0,1)</f>
        <v>1</v>
      </c>
      <c r="U15" s="196">
        <f t="shared" ref="U15:U28" si="2">IF(I15&gt;0,1)</f>
        <v>1</v>
      </c>
      <c r="V15" s="196"/>
      <c r="W15" s="196"/>
    </row>
    <row r="16" spans="1:23" ht="144.75" customHeight="1" x14ac:dyDescent="0.25">
      <c r="A16" s="215">
        <v>2</v>
      </c>
      <c r="B16" s="105" t="s">
        <v>3</v>
      </c>
      <c r="C16" s="216">
        <v>51</v>
      </c>
      <c r="D16" s="217">
        <v>223</v>
      </c>
      <c r="E16" s="218">
        <f t="shared" ref="E16:E27" si="3">IFERROR(ROUND(C16/D16,9),0)</f>
        <v>0.228699552</v>
      </c>
      <c r="F16" s="219" t="s">
        <v>28</v>
      </c>
      <c r="G16" s="220">
        <f t="shared" ref="G16:G22" si="4">IFERROR(ROUND((E16/P16*100-100),9),0)</f>
        <v>36.304932909999998</v>
      </c>
      <c r="H16" s="219" t="s">
        <v>28</v>
      </c>
      <c r="I16" s="221">
        <v>2</v>
      </c>
      <c r="J16" s="217">
        <v>1</v>
      </c>
      <c r="K16" s="222">
        <v>0</v>
      </c>
      <c r="L16" s="217">
        <v>1</v>
      </c>
      <c r="M16" s="223"/>
      <c r="N16" s="216">
        <v>50</v>
      </c>
      <c r="O16" s="217">
        <v>298</v>
      </c>
      <c r="P16" s="220">
        <f t="shared" si="0"/>
        <v>0.167785235</v>
      </c>
      <c r="Q16" s="224">
        <v>2</v>
      </c>
      <c r="R16" s="223"/>
      <c r="T16" s="196">
        <f t="shared" si="1"/>
        <v>1</v>
      </c>
      <c r="U16" s="196">
        <f t="shared" si="2"/>
        <v>1</v>
      </c>
    </row>
    <row r="17" spans="1:21" ht="131.25" customHeight="1" x14ac:dyDescent="0.25">
      <c r="A17" s="215">
        <v>3</v>
      </c>
      <c r="B17" s="105" t="s">
        <v>4</v>
      </c>
      <c r="C17" s="216">
        <v>0</v>
      </c>
      <c r="D17" s="217">
        <v>44</v>
      </c>
      <c r="E17" s="225">
        <f t="shared" si="3"/>
        <v>0</v>
      </c>
      <c r="F17" s="222" t="s">
        <v>28</v>
      </c>
      <c r="G17" s="337">
        <f t="shared" si="4"/>
        <v>-100</v>
      </c>
      <c r="H17" s="217" t="s">
        <v>28</v>
      </c>
      <c r="I17" s="226">
        <v>0</v>
      </c>
      <c r="J17" s="217">
        <v>0</v>
      </c>
      <c r="K17" s="222">
        <v>0</v>
      </c>
      <c r="L17" s="222">
        <v>1</v>
      </c>
      <c r="M17" s="223"/>
      <c r="N17" s="216">
        <v>1</v>
      </c>
      <c r="O17" s="217">
        <v>48</v>
      </c>
      <c r="P17" s="220">
        <f t="shared" si="0"/>
        <v>2.0833332999999999E-2</v>
      </c>
      <c r="Q17" s="224">
        <v>0</v>
      </c>
      <c r="R17" s="223"/>
      <c r="T17" s="196">
        <f t="shared" si="1"/>
        <v>1</v>
      </c>
      <c r="U17" s="196" t="b">
        <f t="shared" si="2"/>
        <v>0</v>
      </c>
    </row>
    <row r="18" spans="1:21" ht="144" customHeight="1" x14ac:dyDescent="0.25">
      <c r="A18" s="215">
        <v>4</v>
      </c>
      <c r="B18" s="105" t="s">
        <v>5</v>
      </c>
      <c r="C18" s="216">
        <v>4</v>
      </c>
      <c r="D18" s="217">
        <v>16</v>
      </c>
      <c r="E18" s="227">
        <f t="shared" si="3"/>
        <v>0.25</v>
      </c>
      <c r="F18" s="217" t="s">
        <v>28</v>
      </c>
      <c r="G18" s="220">
        <f t="shared" si="4"/>
        <v>-42.857142856999999</v>
      </c>
      <c r="H18" s="217" t="s">
        <v>28</v>
      </c>
      <c r="I18" s="226">
        <v>0</v>
      </c>
      <c r="J18" s="217">
        <v>0</v>
      </c>
      <c r="K18" s="217">
        <v>0</v>
      </c>
      <c r="L18" s="217">
        <v>1</v>
      </c>
      <c r="M18" s="223"/>
      <c r="N18" s="216">
        <v>7</v>
      </c>
      <c r="O18" s="217">
        <v>16</v>
      </c>
      <c r="P18" s="220">
        <f t="shared" si="0"/>
        <v>0.4375</v>
      </c>
      <c r="Q18" s="224">
        <v>0</v>
      </c>
      <c r="R18" s="223"/>
      <c r="T18" s="196">
        <f t="shared" si="1"/>
        <v>1</v>
      </c>
      <c r="U18" s="196" t="b">
        <f t="shared" si="2"/>
        <v>0</v>
      </c>
    </row>
    <row r="19" spans="1:21" ht="117.75" customHeight="1" x14ac:dyDescent="0.25">
      <c r="A19" s="215">
        <v>5</v>
      </c>
      <c r="B19" s="105" t="s">
        <v>6</v>
      </c>
      <c r="C19" s="216">
        <v>40</v>
      </c>
      <c r="D19" s="217">
        <v>65</v>
      </c>
      <c r="E19" s="227">
        <f t="shared" si="3"/>
        <v>0.61538461499999997</v>
      </c>
      <c r="F19" s="217" t="s">
        <v>28</v>
      </c>
      <c r="G19" s="220">
        <f t="shared" si="4"/>
        <v>34.719334770000003</v>
      </c>
      <c r="H19" s="217" t="s">
        <v>28</v>
      </c>
      <c r="I19" s="224">
        <v>1</v>
      </c>
      <c r="J19" s="217">
        <v>1</v>
      </c>
      <c r="K19" s="217">
        <v>0</v>
      </c>
      <c r="L19" s="217">
        <v>1</v>
      </c>
      <c r="M19" s="223"/>
      <c r="N19" s="216">
        <v>37</v>
      </c>
      <c r="O19" s="217">
        <v>81</v>
      </c>
      <c r="P19" s="220">
        <f t="shared" si="0"/>
        <v>0.45679012299999999</v>
      </c>
      <c r="Q19" s="224">
        <v>0</v>
      </c>
      <c r="R19" s="223"/>
      <c r="T19" s="196">
        <f t="shared" si="1"/>
        <v>1</v>
      </c>
      <c r="U19" s="196">
        <f t="shared" si="2"/>
        <v>1</v>
      </c>
    </row>
    <row r="20" spans="1:21" ht="72" customHeight="1" x14ac:dyDescent="0.35">
      <c r="A20" s="228">
        <v>6</v>
      </c>
      <c r="B20" s="106" t="s">
        <v>7</v>
      </c>
      <c r="C20" s="326">
        <v>110</v>
      </c>
      <c r="D20" s="327">
        <v>266</v>
      </c>
      <c r="E20" s="229">
        <f t="shared" si="3"/>
        <v>0.41353383500000002</v>
      </c>
      <c r="F20" s="230">
        <v>0.95</v>
      </c>
      <c r="G20" s="230" t="s">
        <v>28</v>
      </c>
      <c r="H20" s="231">
        <f>IFERROR(ROUND(E20/F20,9),0)</f>
        <v>0.435298774</v>
      </c>
      <c r="I20" s="240">
        <v>0</v>
      </c>
      <c r="J20" s="230" t="s">
        <v>28</v>
      </c>
      <c r="K20" s="230">
        <v>0</v>
      </c>
      <c r="L20" s="230">
        <v>1</v>
      </c>
      <c r="M20" s="232"/>
      <c r="N20" s="230" t="s">
        <v>28</v>
      </c>
      <c r="O20" s="230" t="s">
        <v>28</v>
      </c>
      <c r="P20" s="230" t="s">
        <v>28</v>
      </c>
      <c r="Q20" s="232">
        <v>2</v>
      </c>
      <c r="R20" s="232"/>
      <c r="T20" s="342">
        <v>0</v>
      </c>
      <c r="U20" s="196" t="b">
        <f t="shared" si="2"/>
        <v>0</v>
      </c>
    </row>
    <row r="21" spans="1:21" ht="148.5" customHeight="1" x14ac:dyDescent="0.25">
      <c r="A21" s="215">
        <v>7</v>
      </c>
      <c r="B21" s="105" t="s">
        <v>8</v>
      </c>
      <c r="C21" s="216">
        <v>2799</v>
      </c>
      <c r="D21" s="217">
        <v>4558</v>
      </c>
      <c r="E21" s="227">
        <f t="shared" si="3"/>
        <v>0.61408512500000001</v>
      </c>
      <c r="F21" s="217" t="s">
        <v>28</v>
      </c>
      <c r="G21" s="220">
        <f>IFERROR(ROUND((E21/P21*100-100),9),0)</f>
        <v>20.789116098000001</v>
      </c>
      <c r="H21" s="217" t="s">
        <v>28</v>
      </c>
      <c r="I21" s="224">
        <v>2</v>
      </c>
      <c r="J21" s="217">
        <v>1</v>
      </c>
      <c r="K21" s="222">
        <v>0</v>
      </c>
      <c r="L21" s="217">
        <v>1</v>
      </c>
      <c r="M21" s="223"/>
      <c r="N21" s="207">
        <v>2150</v>
      </c>
      <c r="O21" s="208">
        <v>4229</v>
      </c>
      <c r="P21" s="220">
        <f t="shared" ref="P21:P22" si="5">IFERROR(ROUND(N21/O21,9),0)</f>
        <v>0.50839441900000004</v>
      </c>
      <c r="Q21" s="224">
        <v>0</v>
      </c>
      <c r="R21" s="223"/>
      <c r="T21" s="196">
        <f t="shared" si="1"/>
        <v>1</v>
      </c>
      <c r="U21" s="196">
        <f t="shared" si="2"/>
        <v>1</v>
      </c>
    </row>
    <row r="22" spans="1:21" ht="187.5" customHeight="1" x14ac:dyDescent="0.25">
      <c r="A22" s="215">
        <v>8</v>
      </c>
      <c r="B22" s="105" t="s">
        <v>15</v>
      </c>
      <c r="C22" s="216">
        <v>1434</v>
      </c>
      <c r="D22" s="217">
        <v>4558</v>
      </c>
      <c r="E22" s="227">
        <f t="shared" si="3"/>
        <v>0.31461167200000001</v>
      </c>
      <c r="F22" s="217" t="s">
        <v>28</v>
      </c>
      <c r="G22" s="220">
        <f t="shared" si="4"/>
        <v>-8.4943080319999993</v>
      </c>
      <c r="H22" s="217" t="s">
        <v>28</v>
      </c>
      <c r="I22" s="226">
        <v>0.5</v>
      </c>
      <c r="J22" s="217">
        <v>1</v>
      </c>
      <c r="K22" s="217">
        <v>0</v>
      </c>
      <c r="L22" s="217">
        <v>1</v>
      </c>
      <c r="M22" s="223"/>
      <c r="N22" s="216">
        <v>1454</v>
      </c>
      <c r="O22" s="217">
        <v>4229</v>
      </c>
      <c r="P22" s="220">
        <f t="shared" si="5"/>
        <v>0.34381650499999999</v>
      </c>
      <c r="Q22" s="224">
        <v>0</v>
      </c>
      <c r="R22" s="223"/>
      <c r="T22" s="196">
        <f t="shared" si="1"/>
        <v>1</v>
      </c>
      <c r="U22" s="196">
        <f t="shared" si="2"/>
        <v>1</v>
      </c>
    </row>
    <row r="23" spans="1:21" ht="138.75" customHeight="1" x14ac:dyDescent="0.25">
      <c r="A23" s="215">
        <v>9</v>
      </c>
      <c r="B23" s="105" t="s">
        <v>14</v>
      </c>
      <c r="C23" s="216">
        <v>29</v>
      </c>
      <c r="D23" s="217">
        <v>108</v>
      </c>
      <c r="E23" s="227">
        <f t="shared" si="3"/>
        <v>0.26851851900000001</v>
      </c>
      <c r="F23" s="217">
        <v>0.8</v>
      </c>
      <c r="G23" s="217" t="s">
        <v>28</v>
      </c>
      <c r="H23" s="220">
        <f>ROUND(E23/F23,9)</f>
        <v>0.33564814900000001</v>
      </c>
      <c r="I23" s="226">
        <v>0</v>
      </c>
      <c r="J23" s="217" t="s">
        <v>28</v>
      </c>
      <c r="K23" s="217">
        <v>1</v>
      </c>
      <c r="L23" s="217">
        <v>1</v>
      </c>
      <c r="M23" s="223"/>
      <c r="N23" s="217" t="s">
        <v>28</v>
      </c>
      <c r="O23" s="217" t="s">
        <v>28</v>
      </c>
      <c r="P23" s="217" t="s">
        <v>28</v>
      </c>
      <c r="Q23" s="226">
        <v>0</v>
      </c>
      <c r="R23" s="223"/>
      <c r="T23" s="196">
        <f t="shared" si="1"/>
        <v>1</v>
      </c>
      <c r="U23" s="196" t="b">
        <f t="shared" si="2"/>
        <v>0</v>
      </c>
    </row>
    <row r="24" spans="1:21" ht="157.5" customHeight="1" x14ac:dyDescent="0.25">
      <c r="A24" s="215">
        <v>10</v>
      </c>
      <c r="B24" s="105" t="s">
        <v>13</v>
      </c>
      <c r="C24" s="233">
        <v>3</v>
      </c>
      <c r="D24" s="217">
        <v>16</v>
      </c>
      <c r="E24" s="227">
        <f t="shared" si="3"/>
        <v>0.1875</v>
      </c>
      <c r="F24" s="217">
        <v>0.8</v>
      </c>
      <c r="G24" s="217" t="s">
        <v>28</v>
      </c>
      <c r="H24" s="220">
        <f>ROUND(E24/F24,9)</f>
        <v>0.234375</v>
      </c>
      <c r="I24" s="226">
        <v>0</v>
      </c>
      <c r="J24" s="217" t="s">
        <v>28</v>
      </c>
      <c r="K24" s="217">
        <v>0</v>
      </c>
      <c r="L24" s="217">
        <v>1</v>
      </c>
      <c r="M24" s="223"/>
      <c r="N24" s="217" t="s">
        <v>28</v>
      </c>
      <c r="O24" s="217" t="s">
        <v>28</v>
      </c>
      <c r="P24" s="217" t="s">
        <v>28</v>
      </c>
      <c r="Q24" s="226">
        <v>0.5</v>
      </c>
      <c r="R24" s="223"/>
      <c r="T24" s="196">
        <f t="shared" si="1"/>
        <v>1</v>
      </c>
      <c r="U24" s="196" t="b">
        <f t="shared" si="2"/>
        <v>0</v>
      </c>
    </row>
    <row r="25" spans="1:21" ht="133.5" customHeight="1" x14ac:dyDescent="0.25">
      <c r="A25" s="215">
        <v>11</v>
      </c>
      <c r="B25" s="105" t="s">
        <v>12</v>
      </c>
      <c r="C25" s="233">
        <v>40</v>
      </c>
      <c r="D25" s="217">
        <v>65</v>
      </c>
      <c r="E25" s="227">
        <f t="shared" si="3"/>
        <v>0.61538461499999997</v>
      </c>
      <c r="F25" s="217">
        <v>0.8</v>
      </c>
      <c r="G25" s="217" t="s">
        <v>28</v>
      </c>
      <c r="H25" s="220">
        <f>ROUND(E25/F25,9)</f>
        <v>0.76923076899999998</v>
      </c>
      <c r="I25" s="226">
        <v>0</v>
      </c>
      <c r="J25" s="217" t="s">
        <v>28</v>
      </c>
      <c r="K25" s="217">
        <v>0</v>
      </c>
      <c r="L25" s="217">
        <v>1</v>
      </c>
      <c r="M25" s="223"/>
      <c r="N25" s="217" t="s">
        <v>28</v>
      </c>
      <c r="O25" s="217" t="s">
        <v>28</v>
      </c>
      <c r="P25" s="217" t="s">
        <v>28</v>
      </c>
      <c r="Q25" s="226">
        <v>0</v>
      </c>
      <c r="R25" s="223"/>
      <c r="T25" s="196">
        <f t="shared" si="1"/>
        <v>1</v>
      </c>
      <c r="U25" s="196" t="b">
        <f t="shared" si="2"/>
        <v>0</v>
      </c>
    </row>
    <row r="26" spans="1:21" ht="170.25" customHeight="1" x14ac:dyDescent="0.25">
      <c r="A26" s="215">
        <v>12</v>
      </c>
      <c r="B26" s="105" t="s">
        <v>11</v>
      </c>
      <c r="C26" s="216">
        <v>119</v>
      </c>
      <c r="D26" s="217">
        <v>13721</v>
      </c>
      <c r="E26" s="227">
        <f t="shared" si="3"/>
        <v>8.6728369999999992E-3</v>
      </c>
      <c r="F26" s="217" t="s">
        <v>28</v>
      </c>
      <c r="G26" s="220">
        <f t="shared" ref="G26:G28" si="6">IFERROR(ROUND((E26/P26*100-100),9),0)</f>
        <v>-10.526317961</v>
      </c>
      <c r="H26" s="217" t="s">
        <v>28</v>
      </c>
      <c r="I26" s="224">
        <v>1</v>
      </c>
      <c r="J26" s="217">
        <v>1</v>
      </c>
      <c r="K26" s="217">
        <v>0</v>
      </c>
      <c r="L26" s="217">
        <v>1</v>
      </c>
      <c r="M26" s="223"/>
      <c r="N26" s="233">
        <v>133</v>
      </c>
      <c r="O26" s="222">
        <v>13721</v>
      </c>
      <c r="P26" s="220">
        <f t="shared" ref="P26:P27" si="7">IFERROR(ROUND(N26/O26,9),0)</f>
        <v>9.6931710000000004E-3</v>
      </c>
      <c r="Q26" s="224">
        <v>0</v>
      </c>
      <c r="R26" s="223"/>
      <c r="T26" s="196">
        <f t="shared" si="1"/>
        <v>1</v>
      </c>
      <c r="U26" s="196">
        <f t="shared" si="2"/>
        <v>1</v>
      </c>
    </row>
    <row r="27" spans="1:21" ht="189.75" customHeight="1" x14ac:dyDescent="0.25">
      <c r="A27" s="215">
        <v>13</v>
      </c>
      <c r="B27" s="105" t="s">
        <v>10</v>
      </c>
      <c r="C27" s="216">
        <v>370</v>
      </c>
      <c r="D27" s="217">
        <v>605</v>
      </c>
      <c r="E27" s="227">
        <f t="shared" si="3"/>
        <v>0.61157024800000004</v>
      </c>
      <c r="F27" s="217" t="s">
        <v>28</v>
      </c>
      <c r="G27" s="220">
        <f t="shared" si="6"/>
        <v>0.12963866199999999</v>
      </c>
      <c r="H27" s="217" t="s">
        <v>28</v>
      </c>
      <c r="I27" s="226">
        <v>0</v>
      </c>
      <c r="J27" s="217">
        <v>0</v>
      </c>
      <c r="K27" s="222">
        <v>0</v>
      </c>
      <c r="L27" s="217">
        <v>1</v>
      </c>
      <c r="M27" s="223"/>
      <c r="N27" s="216">
        <v>408</v>
      </c>
      <c r="O27" s="217">
        <v>668</v>
      </c>
      <c r="P27" s="220">
        <f t="shared" si="7"/>
        <v>0.61077844299999995</v>
      </c>
      <c r="Q27" s="224">
        <v>1</v>
      </c>
      <c r="R27" s="223"/>
      <c r="T27" s="196">
        <f t="shared" si="1"/>
        <v>1</v>
      </c>
      <c r="U27" s="196" t="b">
        <f t="shared" si="2"/>
        <v>0</v>
      </c>
    </row>
    <row r="28" spans="1:21" ht="175.5" customHeight="1" x14ac:dyDescent="0.25">
      <c r="A28" s="215">
        <v>14</v>
      </c>
      <c r="B28" s="99" t="s">
        <v>9</v>
      </c>
      <c r="C28" s="216">
        <v>348</v>
      </c>
      <c r="D28" s="217">
        <v>1065</v>
      </c>
      <c r="E28" s="227">
        <f>IFERROR(ROUND(C28/D28,9),0)</f>
        <v>0.326760563</v>
      </c>
      <c r="F28" s="217" t="s">
        <v>28</v>
      </c>
      <c r="G28" s="220">
        <f t="shared" si="6"/>
        <v>21.792573448999999</v>
      </c>
      <c r="H28" s="217" t="s">
        <v>28</v>
      </c>
      <c r="I28" s="226">
        <v>0</v>
      </c>
      <c r="J28" s="222">
        <v>0</v>
      </c>
      <c r="K28" s="222">
        <v>0</v>
      </c>
      <c r="L28" s="217">
        <v>1</v>
      </c>
      <c r="M28" s="223"/>
      <c r="N28" s="233">
        <v>264</v>
      </c>
      <c r="O28" s="222">
        <v>984</v>
      </c>
      <c r="P28" s="220">
        <f>IFERROR(ROUND(N28/O28,9),0)</f>
        <v>0.26829268299999998</v>
      </c>
      <c r="Q28" s="224">
        <v>1</v>
      </c>
      <c r="R28" s="223"/>
      <c r="T28" s="196">
        <f t="shared" si="1"/>
        <v>1</v>
      </c>
      <c r="U28" s="196" t="b">
        <f t="shared" si="2"/>
        <v>0</v>
      </c>
    </row>
    <row r="29" spans="1:21" ht="15.75" customHeight="1" x14ac:dyDescent="0.25">
      <c r="A29" s="234"/>
      <c r="B29" s="107"/>
      <c r="C29" s="401" t="s">
        <v>57</v>
      </c>
      <c r="D29" s="401"/>
      <c r="E29" s="401"/>
      <c r="F29" s="401"/>
      <c r="G29" s="401"/>
      <c r="H29" s="401"/>
      <c r="I29" s="401"/>
      <c r="J29" s="401"/>
      <c r="K29" s="401"/>
      <c r="L29" s="401"/>
      <c r="M29" s="401"/>
      <c r="N29" s="401"/>
      <c r="O29" s="401"/>
      <c r="P29" s="401"/>
      <c r="Q29" s="401"/>
      <c r="R29" s="402"/>
      <c r="T29" s="196"/>
      <c r="U29" s="196"/>
    </row>
    <row r="30" spans="1:21" ht="44.25" customHeight="1" x14ac:dyDescent="0.25">
      <c r="A30" s="228">
        <v>15</v>
      </c>
      <c r="B30" s="100" t="s">
        <v>16</v>
      </c>
      <c r="C30" s="328">
        <v>3574</v>
      </c>
      <c r="D30" s="327">
        <v>3796</v>
      </c>
      <c r="E30" s="231">
        <f t="shared" ref="E30:E35" si="8">IFERROR(ROUND(C30/D30,9),0)</f>
        <v>0.94151738699999998</v>
      </c>
      <c r="F30" s="230">
        <v>0.95</v>
      </c>
      <c r="G30" s="230" t="s">
        <v>28</v>
      </c>
      <c r="H30" s="230">
        <f t="shared" ref="H30:H34" si="9">IFERROR(ROUND(E30/F30,9),0)</f>
        <v>0.99107093400000001</v>
      </c>
      <c r="I30" s="240">
        <v>1</v>
      </c>
      <c r="J30" s="230">
        <v>1</v>
      </c>
      <c r="K30" s="230"/>
      <c r="L30" s="230">
        <v>1</v>
      </c>
      <c r="M30" s="232"/>
      <c r="N30" s="230" t="s">
        <v>28</v>
      </c>
      <c r="O30" s="230" t="s">
        <v>28</v>
      </c>
      <c r="P30" s="230" t="s">
        <v>28</v>
      </c>
      <c r="Q30" s="240">
        <v>1</v>
      </c>
      <c r="R30" s="232"/>
      <c r="T30" s="196">
        <f>IF(L30&gt;0,1)</f>
        <v>1</v>
      </c>
      <c r="U30" s="196">
        <f>IF(I30&gt;0,1)</f>
        <v>1</v>
      </c>
    </row>
    <row r="31" spans="1:21" ht="159" customHeight="1" x14ac:dyDescent="0.25">
      <c r="A31" s="215">
        <v>16</v>
      </c>
      <c r="B31" s="99" t="s">
        <v>17</v>
      </c>
      <c r="C31" s="216">
        <v>32</v>
      </c>
      <c r="D31" s="217">
        <v>64</v>
      </c>
      <c r="E31" s="227">
        <f t="shared" si="8"/>
        <v>0.5</v>
      </c>
      <c r="F31" s="217">
        <v>0.7</v>
      </c>
      <c r="G31" s="217" t="s">
        <v>28</v>
      </c>
      <c r="H31" s="220">
        <f t="shared" si="9"/>
        <v>0.71428571399999996</v>
      </c>
      <c r="I31" s="226">
        <v>0</v>
      </c>
      <c r="J31" s="217">
        <v>0</v>
      </c>
      <c r="K31" s="217">
        <v>0</v>
      </c>
      <c r="L31" s="217">
        <v>1</v>
      </c>
      <c r="M31" s="223"/>
      <c r="N31" s="217" t="s">
        <v>28</v>
      </c>
      <c r="O31" s="217" t="s">
        <v>28</v>
      </c>
      <c r="P31" s="217" t="s">
        <v>28</v>
      </c>
      <c r="Q31" s="226">
        <v>0</v>
      </c>
      <c r="R31" s="223"/>
      <c r="T31" s="196">
        <f t="shared" ref="T31:T32" si="10">IF(L31&gt;0,1)</f>
        <v>1</v>
      </c>
      <c r="U31" s="196" t="b">
        <f t="shared" ref="U31:U32" si="11">IF(I31&gt;0,1)</f>
        <v>0</v>
      </c>
    </row>
    <row r="32" spans="1:21" ht="148.5" customHeight="1" x14ac:dyDescent="0.25">
      <c r="A32" s="215">
        <v>17</v>
      </c>
      <c r="B32" s="99" t="s">
        <v>18</v>
      </c>
      <c r="C32" s="216">
        <v>15</v>
      </c>
      <c r="D32" s="217">
        <v>141</v>
      </c>
      <c r="E32" s="227">
        <f t="shared" si="8"/>
        <v>0.106382979</v>
      </c>
      <c r="F32" s="217">
        <v>0.7</v>
      </c>
      <c r="G32" s="217" t="s">
        <v>28</v>
      </c>
      <c r="H32" s="220">
        <f t="shared" si="9"/>
        <v>0.151975684</v>
      </c>
      <c r="I32" s="226">
        <v>0</v>
      </c>
      <c r="J32" s="217">
        <v>0</v>
      </c>
      <c r="K32" s="217">
        <v>0</v>
      </c>
      <c r="L32" s="217">
        <v>1</v>
      </c>
      <c r="M32" s="223"/>
      <c r="N32" s="217" t="s">
        <v>28</v>
      </c>
      <c r="O32" s="217" t="s">
        <v>28</v>
      </c>
      <c r="P32" s="217" t="s">
        <v>28</v>
      </c>
      <c r="Q32" s="226">
        <v>0</v>
      </c>
      <c r="R32" s="223"/>
      <c r="T32" s="196">
        <f t="shared" si="10"/>
        <v>1</v>
      </c>
      <c r="U32" s="196" t="b">
        <f t="shared" si="11"/>
        <v>0</v>
      </c>
    </row>
    <row r="33" spans="1:22" ht="121.5" customHeight="1" x14ac:dyDescent="0.25">
      <c r="A33" s="215">
        <v>18</v>
      </c>
      <c r="B33" s="99" t="s">
        <v>19</v>
      </c>
      <c r="C33" s="216">
        <v>81</v>
      </c>
      <c r="D33" s="217">
        <v>696</v>
      </c>
      <c r="E33" s="227">
        <f t="shared" si="8"/>
        <v>0.11637931</v>
      </c>
      <c r="F33" s="217">
        <v>0.7</v>
      </c>
      <c r="G33" s="217" t="s">
        <v>28</v>
      </c>
      <c r="H33" s="220">
        <f t="shared" si="9"/>
        <v>0.16625615699999999</v>
      </c>
      <c r="I33" s="226">
        <v>0</v>
      </c>
      <c r="J33" s="217">
        <v>0</v>
      </c>
      <c r="K33" s="217">
        <v>0</v>
      </c>
      <c r="L33" s="217">
        <v>1</v>
      </c>
      <c r="M33" s="223"/>
      <c r="N33" s="217" t="s">
        <v>28</v>
      </c>
      <c r="O33" s="217" t="s">
        <v>28</v>
      </c>
      <c r="P33" s="217" t="s">
        <v>28</v>
      </c>
      <c r="Q33" s="226">
        <v>0</v>
      </c>
      <c r="R33" s="223"/>
      <c r="T33" s="196">
        <f>IF(L33&gt;0,1)</f>
        <v>1</v>
      </c>
      <c r="U33" s="196" t="b">
        <f>IF(I33&gt;0,1)</f>
        <v>0</v>
      </c>
    </row>
    <row r="34" spans="1:22" ht="121.5" customHeight="1" x14ac:dyDescent="0.25">
      <c r="A34" s="215">
        <v>19</v>
      </c>
      <c r="B34" s="99" t="s">
        <v>20</v>
      </c>
      <c r="C34" s="216">
        <v>7</v>
      </c>
      <c r="D34" s="217">
        <v>18</v>
      </c>
      <c r="E34" s="227">
        <f t="shared" si="8"/>
        <v>0.38888888900000002</v>
      </c>
      <c r="F34" s="217">
        <v>0.7</v>
      </c>
      <c r="G34" s="217" t="s">
        <v>28</v>
      </c>
      <c r="H34" s="220">
        <f t="shared" si="9"/>
        <v>0.55555555599999995</v>
      </c>
      <c r="I34" s="226">
        <v>0</v>
      </c>
      <c r="J34" s="217">
        <v>0</v>
      </c>
      <c r="K34" s="217">
        <v>0</v>
      </c>
      <c r="L34" s="217">
        <v>1</v>
      </c>
      <c r="M34" s="223"/>
      <c r="N34" s="217" t="s">
        <v>28</v>
      </c>
      <c r="O34" s="217" t="s">
        <v>28</v>
      </c>
      <c r="P34" s="217" t="s">
        <v>28</v>
      </c>
      <c r="Q34" s="226">
        <v>0</v>
      </c>
      <c r="R34" s="223"/>
      <c r="T34" s="196">
        <f t="shared" ref="T34" si="12">IF(L34&gt;0,1)</f>
        <v>1</v>
      </c>
      <c r="U34" s="196" t="b">
        <f t="shared" ref="U34:U35" si="13">IF(I34&gt;0,1)</f>
        <v>0</v>
      </c>
    </row>
    <row r="35" spans="1:22" ht="175.5" customHeight="1" x14ac:dyDescent="0.25">
      <c r="A35" s="215">
        <v>20</v>
      </c>
      <c r="B35" s="99" t="s">
        <v>21</v>
      </c>
      <c r="C35" s="216">
        <v>42</v>
      </c>
      <c r="D35" s="217">
        <v>95</v>
      </c>
      <c r="E35" s="227">
        <f t="shared" si="8"/>
        <v>0.44210526300000003</v>
      </c>
      <c r="F35" s="217">
        <v>0.7</v>
      </c>
      <c r="G35" s="217" t="s">
        <v>28</v>
      </c>
      <c r="H35" s="220">
        <f>IFERROR(ROUND(E35/F35,9),0)</f>
        <v>0.63157894699999995</v>
      </c>
      <c r="I35" s="226">
        <v>0</v>
      </c>
      <c r="J35" s="217">
        <v>0</v>
      </c>
      <c r="K35" s="217">
        <v>0</v>
      </c>
      <c r="L35" s="217">
        <v>1</v>
      </c>
      <c r="M35" s="223"/>
      <c r="N35" s="217" t="s">
        <v>28</v>
      </c>
      <c r="O35" s="217" t="s">
        <v>28</v>
      </c>
      <c r="P35" s="217" t="s">
        <v>28</v>
      </c>
      <c r="Q35" s="226">
        <v>0</v>
      </c>
      <c r="R35" s="223"/>
      <c r="T35" s="196">
        <f>IF(L35&gt;0,1)</f>
        <v>1</v>
      </c>
      <c r="U35" s="196" t="b">
        <f t="shared" si="13"/>
        <v>0</v>
      </c>
    </row>
    <row r="36" spans="1:22" ht="21" customHeight="1" x14ac:dyDescent="0.3">
      <c r="A36" s="234"/>
      <c r="B36" s="107"/>
      <c r="C36" s="401" t="s">
        <v>58</v>
      </c>
      <c r="D36" s="401"/>
      <c r="E36" s="401"/>
      <c r="F36" s="401"/>
      <c r="G36" s="401"/>
      <c r="H36" s="401"/>
      <c r="I36" s="401"/>
      <c r="J36" s="401"/>
      <c r="K36" s="401"/>
      <c r="L36" s="401"/>
      <c r="M36" s="401"/>
      <c r="N36" s="401"/>
      <c r="O36" s="401"/>
      <c r="P36" s="401"/>
      <c r="Q36" s="401"/>
      <c r="R36" s="402"/>
      <c r="T36" s="236">
        <f>SUM(T15:T35)</f>
        <v>19</v>
      </c>
      <c r="U36" s="236">
        <f>SUM(U15:U35)</f>
        <v>7</v>
      </c>
      <c r="V36" s="237">
        <f>U36/T36</f>
        <v>0.36842105263157893</v>
      </c>
    </row>
    <row r="37" spans="1:22" ht="69.75" customHeight="1" x14ac:dyDescent="0.25">
      <c r="A37" s="228">
        <v>21</v>
      </c>
      <c r="B37" s="106" t="s">
        <v>22</v>
      </c>
      <c r="C37" s="238">
        <v>12</v>
      </c>
      <c r="D37" s="239">
        <v>40</v>
      </c>
      <c r="E37" s="229">
        <f t="shared" ref="E37:E41" si="14">IFERROR(ROUND(C37/D37,9),0)</f>
        <v>0.3</v>
      </c>
      <c r="F37" s="230" t="s">
        <v>28</v>
      </c>
      <c r="G37" s="231">
        <f t="shared" ref="G37:G40" si="15">IFERROR(ROUND((E37/P37*100-100),9),0)</f>
        <v>41.428571509000001</v>
      </c>
      <c r="H37" s="230" t="s">
        <v>28</v>
      </c>
      <c r="I37" s="240">
        <v>1</v>
      </c>
      <c r="J37" s="230">
        <v>1</v>
      </c>
      <c r="K37" s="230">
        <v>0</v>
      </c>
      <c r="L37" s="230">
        <v>1</v>
      </c>
      <c r="M37" s="232"/>
      <c r="N37" s="238">
        <v>7</v>
      </c>
      <c r="O37" s="239">
        <v>33</v>
      </c>
      <c r="P37" s="231">
        <f>IFERROR(ROUND(N37/O37,9),0)</f>
        <v>0.212121212</v>
      </c>
      <c r="Q37" s="240">
        <v>0</v>
      </c>
      <c r="R37" s="232"/>
      <c r="T37" s="196">
        <f t="shared" ref="T37" si="16">IF(L37&gt;0,1)</f>
        <v>1</v>
      </c>
      <c r="U37" s="196">
        <f t="shared" ref="U37" si="17">IF(I37&gt;0,1)</f>
        <v>1</v>
      </c>
    </row>
    <row r="38" spans="1:22" ht="97.5" customHeight="1" x14ac:dyDescent="0.25">
      <c r="A38" s="228">
        <v>22</v>
      </c>
      <c r="B38" s="106" t="s">
        <v>23</v>
      </c>
      <c r="C38" s="238">
        <v>0</v>
      </c>
      <c r="D38" s="239">
        <v>51</v>
      </c>
      <c r="E38" s="229">
        <f t="shared" si="14"/>
        <v>0</v>
      </c>
      <c r="F38" s="230">
        <v>0.1</v>
      </c>
      <c r="G38" s="230" t="s">
        <v>28</v>
      </c>
      <c r="H38" s="231">
        <f t="shared" ref="H38" si="18">IFERROR(ROUND(E38/F38,9),0)</f>
        <v>0</v>
      </c>
      <c r="I38" s="240">
        <v>0</v>
      </c>
      <c r="J38" s="230" t="s">
        <v>28</v>
      </c>
      <c r="K38" s="230">
        <v>0</v>
      </c>
      <c r="L38" s="230">
        <v>1</v>
      </c>
      <c r="M38" s="232"/>
      <c r="N38" s="230" t="s">
        <v>28</v>
      </c>
      <c r="O38" s="230" t="s">
        <v>28</v>
      </c>
      <c r="P38" s="230" t="s">
        <v>28</v>
      </c>
      <c r="Q38" s="240">
        <v>0</v>
      </c>
      <c r="R38" s="232"/>
      <c r="T38" s="196">
        <f t="shared" ref="T38:T41" si="19">IF(L38&gt;0,1)</f>
        <v>1</v>
      </c>
      <c r="U38" s="196" t="b">
        <f>IF(I38&gt;0,1)</f>
        <v>0</v>
      </c>
    </row>
    <row r="39" spans="1:22" ht="122.25" customHeight="1" x14ac:dyDescent="0.25">
      <c r="A39" s="215">
        <v>23</v>
      </c>
      <c r="B39" s="105" t="s">
        <v>24</v>
      </c>
      <c r="C39" s="216">
        <v>0</v>
      </c>
      <c r="D39" s="217">
        <v>3</v>
      </c>
      <c r="E39" s="227">
        <f>IFERROR(ROUND(C39/D39,9),0)</f>
        <v>0</v>
      </c>
      <c r="F39" s="217" t="s">
        <v>28</v>
      </c>
      <c r="G39" s="220">
        <f t="shared" si="15"/>
        <v>0</v>
      </c>
      <c r="H39" s="217" t="s">
        <v>28</v>
      </c>
      <c r="I39" s="224">
        <v>0</v>
      </c>
      <c r="J39" s="217">
        <v>0</v>
      </c>
      <c r="K39" s="217">
        <v>0</v>
      </c>
      <c r="L39" s="222">
        <v>1</v>
      </c>
      <c r="M39" s="223"/>
      <c r="N39" s="216">
        <v>0</v>
      </c>
      <c r="O39" s="217">
        <v>5</v>
      </c>
      <c r="P39" s="220">
        <f>IFERROR(ROUND(N39/O39,9),0)</f>
        <v>0</v>
      </c>
      <c r="Q39" s="224">
        <v>0</v>
      </c>
      <c r="R39" s="223"/>
      <c r="T39" s="196">
        <f t="shared" si="19"/>
        <v>1</v>
      </c>
      <c r="U39" s="196" t="b">
        <f t="shared" ref="U39:U41" si="20">IF(I39&gt;0,1)</f>
        <v>0</v>
      </c>
    </row>
    <row r="40" spans="1:22" ht="134.25" customHeight="1" x14ac:dyDescent="0.25">
      <c r="A40" s="215">
        <v>24</v>
      </c>
      <c r="B40" s="105" t="s">
        <v>25</v>
      </c>
      <c r="C40" s="216">
        <v>0</v>
      </c>
      <c r="D40" s="217">
        <v>6</v>
      </c>
      <c r="E40" s="227">
        <f t="shared" si="14"/>
        <v>0</v>
      </c>
      <c r="F40" s="217" t="s">
        <v>28</v>
      </c>
      <c r="G40" s="220">
        <f t="shared" si="15"/>
        <v>0</v>
      </c>
      <c r="H40" s="217" t="s">
        <v>28</v>
      </c>
      <c r="I40" s="224">
        <v>0</v>
      </c>
      <c r="J40" s="217">
        <v>0</v>
      </c>
      <c r="K40" s="217">
        <v>0</v>
      </c>
      <c r="L40" s="222">
        <v>1</v>
      </c>
      <c r="M40" s="223"/>
      <c r="N40" s="216">
        <v>0</v>
      </c>
      <c r="O40" s="217">
        <v>5</v>
      </c>
      <c r="P40" s="220">
        <f>IFERROR(ROUND(N40/O40,9),0)</f>
        <v>0</v>
      </c>
      <c r="Q40" s="224">
        <v>0</v>
      </c>
      <c r="R40" s="223"/>
      <c r="T40" s="196">
        <f t="shared" si="19"/>
        <v>1</v>
      </c>
      <c r="U40" s="196" t="b">
        <f>IF(I40&gt;0,1)</f>
        <v>0</v>
      </c>
    </row>
    <row r="41" spans="1:22" ht="110.25" customHeight="1" x14ac:dyDescent="0.25">
      <c r="A41" s="228">
        <v>25</v>
      </c>
      <c r="B41" s="106" t="s">
        <v>26</v>
      </c>
      <c r="C41" s="238">
        <v>61</v>
      </c>
      <c r="D41" s="239">
        <v>79</v>
      </c>
      <c r="E41" s="229">
        <f t="shared" si="14"/>
        <v>0.77215189900000003</v>
      </c>
      <c r="F41" s="230">
        <v>0.89</v>
      </c>
      <c r="G41" s="230" t="s">
        <v>28</v>
      </c>
      <c r="H41" s="231">
        <f t="shared" ref="H41:H43" si="21">IFERROR(ROUND(E41/F41,9),0)</f>
        <v>0.86758640300000001</v>
      </c>
      <c r="I41" s="240">
        <v>0</v>
      </c>
      <c r="J41" s="230" t="s">
        <v>28</v>
      </c>
      <c r="K41" s="230">
        <v>0</v>
      </c>
      <c r="L41" s="230">
        <v>1</v>
      </c>
      <c r="M41" s="232"/>
      <c r="N41" s="230" t="s">
        <v>28</v>
      </c>
      <c r="O41" s="230" t="s">
        <v>28</v>
      </c>
      <c r="P41" s="230" t="s">
        <v>28</v>
      </c>
      <c r="Q41" s="240">
        <v>2</v>
      </c>
      <c r="R41" s="232"/>
      <c r="T41" s="196">
        <f t="shared" si="19"/>
        <v>1</v>
      </c>
      <c r="U41" s="196" t="b">
        <f t="shared" si="20"/>
        <v>0</v>
      </c>
    </row>
    <row r="42" spans="1:22" ht="21" customHeight="1" x14ac:dyDescent="0.3">
      <c r="A42" s="241"/>
      <c r="B42" s="108"/>
      <c r="C42" s="401" t="s">
        <v>59</v>
      </c>
      <c r="D42" s="401"/>
      <c r="E42" s="401"/>
      <c r="F42" s="401"/>
      <c r="G42" s="401"/>
      <c r="H42" s="401"/>
      <c r="I42" s="401"/>
      <c r="J42" s="401"/>
      <c r="K42" s="401"/>
      <c r="L42" s="401"/>
      <c r="M42" s="401"/>
      <c r="N42" s="401"/>
      <c r="O42" s="401"/>
      <c r="P42" s="401"/>
      <c r="Q42" s="401"/>
      <c r="R42" s="402"/>
      <c r="T42" s="236">
        <f>SUM(T37:T41)</f>
        <v>5</v>
      </c>
      <c r="U42" s="236">
        <f>SUM(U37:U41)</f>
        <v>1</v>
      </c>
      <c r="V42" s="237">
        <f>U42/T42</f>
        <v>0.2</v>
      </c>
    </row>
    <row r="43" spans="1:22" ht="38.25" x14ac:dyDescent="0.25">
      <c r="A43" s="206">
        <v>26</v>
      </c>
      <c r="B43" s="104" t="s">
        <v>40</v>
      </c>
      <c r="C43" s="242">
        <v>45332</v>
      </c>
      <c r="D43" s="243">
        <f>14161+ROUND((9697+1736+8296*2.9)*4.2/12*5,0)</f>
        <v>76271</v>
      </c>
      <c r="E43" s="244">
        <f>IFERROR(ROUND(C43/D43,9),0)</f>
        <v>0.59435434200000004</v>
      </c>
      <c r="F43" s="245">
        <v>1</v>
      </c>
      <c r="G43" s="245" t="s">
        <v>28</v>
      </c>
      <c r="H43" s="246">
        <f t="shared" si="21"/>
        <v>0.59435434200000004</v>
      </c>
      <c r="I43" s="247">
        <v>0</v>
      </c>
      <c r="J43" s="245">
        <v>0</v>
      </c>
      <c r="K43" s="245">
        <v>0</v>
      </c>
      <c r="L43" s="245">
        <v>1</v>
      </c>
      <c r="M43" s="248"/>
      <c r="N43" s="249" t="s">
        <v>28</v>
      </c>
      <c r="O43" s="245" t="s">
        <v>28</v>
      </c>
      <c r="P43" s="246" t="s">
        <v>28</v>
      </c>
      <c r="Q43" s="247" t="s">
        <v>72</v>
      </c>
      <c r="R43" s="248"/>
    </row>
    <row r="44" spans="1:22" ht="15.75" x14ac:dyDescent="0.25">
      <c r="A44" s="215"/>
      <c r="B44" s="105"/>
      <c r="C44" s="250"/>
      <c r="D44" s="215"/>
      <c r="E44" s="215"/>
      <c r="F44" s="217"/>
      <c r="G44" s="217"/>
      <c r="H44" s="217"/>
      <c r="I44" s="235"/>
      <c r="J44" s="217"/>
      <c r="K44" s="217"/>
      <c r="L44" s="217"/>
      <c r="M44" s="223"/>
      <c r="N44" s="216"/>
      <c r="O44" s="217"/>
      <c r="P44" s="217"/>
      <c r="Q44" s="224"/>
      <c r="R44" s="223"/>
    </row>
    <row r="45" spans="1:22" ht="15.75" x14ac:dyDescent="0.25">
      <c r="A45" s="215"/>
      <c r="B45" s="109"/>
      <c r="C45" s="250"/>
      <c r="D45" s="215"/>
      <c r="E45" s="215"/>
      <c r="F45" s="217"/>
      <c r="G45" s="217"/>
      <c r="H45" s="217"/>
      <c r="I45" s="235"/>
      <c r="J45" s="217"/>
      <c r="K45" s="217"/>
      <c r="L45" s="217"/>
      <c r="M45" s="223"/>
      <c r="N45" s="216"/>
      <c r="O45" s="217"/>
      <c r="P45" s="217"/>
      <c r="Q45" s="224"/>
      <c r="R45" s="223"/>
    </row>
    <row r="46" spans="1:22" ht="15.75" x14ac:dyDescent="0.25">
      <c r="A46" s="215"/>
      <c r="B46" s="109"/>
      <c r="C46" s="250"/>
      <c r="D46" s="215"/>
      <c r="E46" s="215"/>
      <c r="F46" s="217"/>
      <c r="G46" s="217"/>
      <c r="H46" s="217"/>
      <c r="I46" s="235"/>
      <c r="J46" s="217"/>
      <c r="K46" s="217"/>
      <c r="L46" s="217"/>
      <c r="M46" s="223"/>
      <c r="N46" s="216"/>
      <c r="O46" s="217"/>
      <c r="P46" s="217"/>
      <c r="Q46" s="224"/>
      <c r="R46" s="223"/>
    </row>
    <row r="47" spans="1:22" ht="15.75" x14ac:dyDescent="0.25">
      <c r="A47" s="215"/>
      <c r="B47" s="109"/>
      <c r="C47" s="250"/>
      <c r="D47" s="215"/>
      <c r="E47" s="215"/>
      <c r="F47" s="217"/>
      <c r="G47" s="217"/>
      <c r="H47" s="217"/>
      <c r="I47" s="235"/>
      <c r="J47" s="217"/>
      <c r="K47" s="217"/>
      <c r="L47" s="217"/>
      <c r="M47" s="223"/>
      <c r="N47" s="216"/>
      <c r="O47" s="217"/>
      <c r="P47" s="217"/>
      <c r="Q47" s="224"/>
      <c r="R47" s="223"/>
    </row>
    <row r="48" spans="1:22" ht="15.75" x14ac:dyDescent="0.25">
      <c r="A48" s="215"/>
      <c r="B48" s="109"/>
      <c r="C48" s="250"/>
      <c r="D48" s="215"/>
      <c r="E48" s="215"/>
      <c r="F48" s="217"/>
      <c r="G48" s="217"/>
      <c r="H48" s="217"/>
      <c r="I48" s="235"/>
      <c r="J48" s="217"/>
      <c r="K48" s="217"/>
      <c r="L48" s="217"/>
      <c r="M48" s="223"/>
      <c r="N48" s="216"/>
      <c r="O48" s="217"/>
      <c r="P48" s="217"/>
      <c r="Q48" s="224"/>
      <c r="R48" s="223"/>
    </row>
    <row r="49" spans="1:18" ht="15.75" x14ac:dyDescent="0.25">
      <c r="A49" s="215"/>
      <c r="B49" s="109"/>
      <c r="C49" s="250"/>
      <c r="D49" s="215"/>
      <c r="E49" s="215"/>
      <c r="F49" s="217"/>
      <c r="G49" s="217"/>
      <c r="H49" s="217"/>
      <c r="I49" s="235"/>
      <c r="J49" s="217"/>
      <c r="K49" s="217"/>
      <c r="L49" s="217"/>
      <c r="M49" s="223"/>
      <c r="N49" s="216"/>
      <c r="O49" s="217"/>
      <c r="P49" s="217"/>
      <c r="Q49" s="224"/>
      <c r="R49" s="223"/>
    </row>
    <row r="50" spans="1:18" ht="15.75" x14ac:dyDescent="0.25">
      <c r="A50" s="215"/>
      <c r="B50" s="109"/>
      <c r="C50" s="250"/>
      <c r="D50" s="215"/>
      <c r="E50" s="215"/>
      <c r="F50" s="217"/>
      <c r="G50" s="217"/>
      <c r="H50" s="217"/>
      <c r="I50" s="235"/>
      <c r="J50" s="217"/>
      <c r="K50" s="217"/>
      <c r="L50" s="217"/>
      <c r="M50" s="223"/>
      <c r="N50" s="216"/>
      <c r="O50" s="217"/>
      <c r="P50" s="217"/>
      <c r="Q50" s="224"/>
      <c r="R50" s="223"/>
    </row>
    <row r="51" spans="1:18" ht="15.75" x14ac:dyDescent="0.25">
      <c r="A51" s="215"/>
      <c r="B51" s="109"/>
      <c r="C51" s="250"/>
      <c r="D51" s="215"/>
      <c r="E51" s="215"/>
      <c r="F51" s="217"/>
      <c r="G51" s="217"/>
      <c r="H51" s="217"/>
      <c r="I51" s="235"/>
      <c r="J51" s="217"/>
      <c r="K51" s="217"/>
      <c r="L51" s="217"/>
      <c r="M51" s="223"/>
      <c r="N51" s="216"/>
      <c r="O51" s="217"/>
      <c r="P51" s="217"/>
      <c r="Q51" s="224"/>
      <c r="R51" s="223"/>
    </row>
    <row r="52" spans="1:18" ht="15.75" x14ac:dyDescent="0.25">
      <c r="A52" s="215"/>
      <c r="B52" s="109"/>
      <c r="C52" s="250"/>
      <c r="D52" s="215"/>
      <c r="E52" s="215"/>
      <c r="F52" s="217"/>
      <c r="G52" s="217"/>
      <c r="H52" s="217"/>
      <c r="I52" s="235"/>
      <c r="J52" s="217"/>
      <c r="K52" s="217"/>
      <c r="L52" s="217"/>
      <c r="M52" s="223"/>
      <c r="N52" s="216"/>
      <c r="O52" s="217"/>
      <c r="P52" s="217"/>
      <c r="Q52" s="224"/>
      <c r="R52" s="223"/>
    </row>
    <row r="53" spans="1:18" ht="51.75" customHeight="1" x14ac:dyDescent="0.25">
      <c r="A53" s="397"/>
      <c r="B53" s="397"/>
      <c r="C53" s="397"/>
      <c r="D53" s="397"/>
      <c r="E53" s="397"/>
      <c r="F53" s="397"/>
      <c r="G53" s="397"/>
      <c r="H53" s="397"/>
      <c r="I53" s="397"/>
      <c r="J53" s="397"/>
      <c r="K53" s="397"/>
      <c r="L53" s="397"/>
      <c r="M53" s="397"/>
      <c r="N53" s="397"/>
      <c r="O53" s="397"/>
      <c r="P53" s="397"/>
      <c r="Q53" s="397"/>
      <c r="R53" s="397"/>
    </row>
    <row r="54" spans="1:18" ht="19.5" customHeight="1" x14ac:dyDescent="0.25">
      <c r="A54" s="397"/>
      <c r="B54" s="397"/>
      <c r="C54" s="397"/>
      <c r="D54" s="397"/>
      <c r="E54" s="397"/>
      <c r="F54" s="397"/>
      <c r="G54" s="397"/>
      <c r="H54" s="397"/>
      <c r="I54" s="397"/>
      <c r="J54" s="397"/>
      <c r="K54" s="397"/>
      <c r="L54" s="397"/>
      <c r="M54" s="397"/>
      <c r="N54" s="397"/>
      <c r="O54" s="397"/>
      <c r="P54" s="397"/>
      <c r="Q54" s="251"/>
      <c r="R54" s="198"/>
    </row>
    <row r="55" spans="1:18" x14ac:dyDescent="0.25">
      <c r="A55" s="197"/>
      <c r="B55" s="252"/>
      <c r="C55" s="353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</row>
    <row r="56" spans="1:18" x14ac:dyDescent="0.25">
      <c r="C56" s="194">
        <f>SUM(C15:C52)</f>
        <v>66744</v>
      </c>
      <c r="D56" s="194">
        <f t="shared" ref="D56:Q56" si="22">SUM(D15:D52)</f>
        <v>184962</v>
      </c>
      <c r="E56" s="194">
        <f t="shared" si="22"/>
        <v>8.772652788000002</v>
      </c>
      <c r="F56" s="194">
        <f t="shared" si="22"/>
        <v>9.7900000000000009</v>
      </c>
      <c r="G56" s="194">
        <f t="shared" si="22"/>
        <v>152.23626936899998</v>
      </c>
      <c r="H56" s="194">
        <f t="shared" si="22"/>
        <v>6.4472164289999991</v>
      </c>
      <c r="I56" s="194">
        <f t="shared" si="22"/>
        <v>9.5</v>
      </c>
      <c r="J56" s="194">
        <f t="shared" si="22"/>
        <v>8</v>
      </c>
      <c r="K56" s="194">
        <f t="shared" si="22"/>
        <v>1</v>
      </c>
      <c r="L56" s="194">
        <f t="shared" si="22"/>
        <v>26</v>
      </c>
      <c r="M56" s="194">
        <f t="shared" si="22"/>
        <v>0</v>
      </c>
      <c r="N56" s="194">
        <f t="shared" si="22"/>
        <v>9608</v>
      </c>
      <c r="O56" s="194">
        <f t="shared" si="22"/>
        <v>108842</v>
      </c>
      <c r="P56" s="194">
        <f t="shared" si="22"/>
        <v>3.0963068099999997</v>
      </c>
      <c r="Q56" s="194">
        <f t="shared" si="22"/>
        <v>9.5</v>
      </c>
    </row>
    <row r="57" spans="1:18" x14ac:dyDescent="0.25">
      <c r="C57" s="253">
        <v>66744</v>
      </c>
      <c r="D57" s="253">
        <v>184962</v>
      </c>
      <c r="E57" s="345">
        <v>8.7726527880000003</v>
      </c>
      <c r="F57" s="345">
        <v>9.7899999999999991</v>
      </c>
      <c r="G57" s="345">
        <v>152.23626883599999</v>
      </c>
      <c r="H57" s="345">
        <v>6.447216429</v>
      </c>
      <c r="I57" s="345">
        <v>9.5</v>
      </c>
      <c r="J57" s="345">
        <v>8</v>
      </c>
      <c r="K57" s="345">
        <v>1</v>
      </c>
      <c r="L57" s="345">
        <v>26</v>
      </c>
      <c r="M57" s="345">
        <v>0</v>
      </c>
      <c r="N57" s="345">
        <v>9608</v>
      </c>
      <c r="O57" s="345">
        <v>108842</v>
      </c>
      <c r="P57" s="345">
        <v>3.0963068119999999</v>
      </c>
      <c r="Q57" s="345">
        <v>9.5</v>
      </c>
      <c r="R57" s="345"/>
    </row>
    <row r="58" spans="1:18" x14ac:dyDescent="0.25">
      <c r="C58" s="354">
        <f>C57-C56</f>
        <v>0</v>
      </c>
      <c r="D58" s="354">
        <f t="shared" ref="D58:R58" si="23">D57-D56</f>
        <v>0</v>
      </c>
      <c r="E58" s="354">
        <f t="shared" si="23"/>
        <v>0</v>
      </c>
      <c r="F58" s="354">
        <f t="shared" si="23"/>
        <v>0</v>
      </c>
      <c r="G58" s="354">
        <f t="shared" si="23"/>
        <v>-5.3299999080991256E-7</v>
      </c>
      <c r="H58" s="354">
        <f t="shared" si="23"/>
        <v>0</v>
      </c>
      <c r="I58" s="354">
        <f t="shared" si="23"/>
        <v>0</v>
      </c>
      <c r="J58" s="354">
        <f t="shared" si="23"/>
        <v>0</v>
      </c>
      <c r="K58" s="354">
        <f t="shared" si="23"/>
        <v>0</v>
      </c>
      <c r="L58" s="354">
        <f t="shared" si="23"/>
        <v>0</v>
      </c>
      <c r="M58" s="354">
        <f t="shared" si="23"/>
        <v>0</v>
      </c>
      <c r="N58" s="354">
        <f t="shared" si="23"/>
        <v>0</v>
      </c>
      <c r="O58" s="354">
        <f t="shared" si="23"/>
        <v>0</v>
      </c>
      <c r="P58" s="354">
        <f t="shared" si="23"/>
        <v>2.000000165480742E-9</v>
      </c>
      <c r="Q58" s="354">
        <f t="shared" si="23"/>
        <v>0</v>
      </c>
      <c r="R58" s="354">
        <f t="shared" si="23"/>
        <v>0</v>
      </c>
    </row>
    <row r="59" spans="1:18" ht="18.75" x14ac:dyDescent="0.3">
      <c r="I59" s="254"/>
      <c r="J59" s="254"/>
      <c r="K59" s="254"/>
      <c r="L59" s="254"/>
    </row>
    <row r="60" spans="1:18" ht="18.75" x14ac:dyDescent="0.3">
      <c r="I60" s="254"/>
      <c r="J60" s="254"/>
      <c r="K60" s="254"/>
      <c r="L60" s="255"/>
    </row>
    <row r="61" spans="1:18" ht="18.75" x14ac:dyDescent="0.3">
      <c r="I61" s="254"/>
      <c r="J61" s="254"/>
      <c r="K61" s="254"/>
      <c r="L61" s="256"/>
    </row>
    <row r="62" spans="1:18" ht="18.75" x14ac:dyDescent="0.3">
      <c r="I62" s="254"/>
      <c r="J62" s="254"/>
      <c r="K62" s="254"/>
      <c r="L62" s="254"/>
    </row>
  </sheetData>
  <autoFilter ref="A13:R55"/>
  <mergeCells count="28"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62"/>
  <sheetViews>
    <sheetView view="pageBreakPreview" topLeftCell="I1" zoomScale="80" zoomScaleNormal="80" zoomScaleSheetLayoutView="80" workbookViewId="0">
      <selection activeCell="B72" sqref="B72"/>
    </sheetView>
  </sheetViews>
  <sheetFormatPr defaultRowHeight="15" x14ac:dyDescent="0.25"/>
  <cols>
    <col min="1" max="1" width="9.42578125" style="257" customWidth="1"/>
    <col min="2" max="2" width="28.42578125" style="101" customWidth="1"/>
    <col min="3" max="3" width="16" style="258" customWidth="1"/>
    <col min="4" max="4" width="16.7109375" style="155" customWidth="1"/>
    <col min="5" max="5" width="24.28515625" style="155" customWidth="1"/>
    <col min="6" max="8" width="19.85546875" style="155" customWidth="1"/>
    <col min="9" max="9" width="19.85546875" style="259" customWidth="1"/>
    <col min="10" max="11" width="19.85546875" style="155" customWidth="1"/>
    <col min="12" max="12" width="18" style="155" customWidth="1"/>
    <col min="13" max="13" width="13.7109375" style="155" customWidth="1"/>
    <col min="14" max="14" width="16" style="155" customWidth="1"/>
    <col min="15" max="15" width="16.7109375" style="155" customWidth="1"/>
    <col min="16" max="16" width="24.28515625" style="155" customWidth="1"/>
    <col min="17" max="17" width="19.85546875" style="259" customWidth="1"/>
    <col min="18" max="18" width="13.140625" style="155" customWidth="1"/>
    <col min="19" max="21" width="9.140625" style="155"/>
    <col min="22" max="22" width="11.42578125" style="155" customWidth="1"/>
    <col min="23" max="16384" width="9.140625" style="155"/>
  </cols>
  <sheetData>
    <row r="1" spans="1:22" ht="16.5" x14ac:dyDescent="0.25">
      <c r="R1" s="87" t="s">
        <v>80</v>
      </c>
    </row>
    <row r="2" spans="1:22" ht="16.5" x14ac:dyDescent="0.25">
      <c r="R2" s="97" t="s">
        <v>79</v>
      </c>
    </row>
    <row r="3" spans="1:22" ht="16.5" x14ac:dyDescent="0.25">
      <c r="R3" s="97" t="str">
        <f>МОБ!$R$3</f>
        <v>№ 10-01 от 25.06.2024</v>
      </c>
    </row>
    <row r="5" spans="1:22" ht="15.75" x14ac:dyDescent="0.25">
      <c r="R5" s="98" t="s">
        <v>82</v>
      </c>
    </row>
    <row r="6" spans="1:22" ht="25.5" customHeight="1" thickBot="1" x14ac:dyDescent="0.3">
      <c r="A6" s="403" t="str">
        <f>СВОД!A1</f>
        <v xml:space="preserve">Мониторинг достижения значений показателей результативности деятельности за декабрь 2023 –  май 2024 года 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</row>
    <row r="7" spans="1:22" s="260" customFormat="1" ht="21.75" customHeight="1" x14ac:dyDescent="0.25">
      <c r="A7" s="404" t="s">
        <v>55</v>
      </c>
      <c r="B7" s="407" t="s">
        <v>54</v>
      </c>
      <c r="C7" s="410" t="s">
        <v>52</v>
      </c>
      <c r="D7" s="410"/>
      <c r="E7" s="410"/>
      <c r="F7" s="410"/>
      <c r="G7" s="410"/>
      <c r="H7" s="410"/>
      <c r="I7" s="410"/>
      <c r="J7" s="410"/>
      <c r="K7" s="410"/>
      <c r="L7" s="410"/>
      <c r="M7" s="411"/>
      <c r="N7" s="412" t="s">
        <v>1</v>
      </c>
      <c r="O7" s="410"/>
      <c r="P7" s="410"/>
      <c r="Q7" s="410"/>
      <c r="R7" s="411"/>
    </row>
    <row r="8" spans="1:22" s="261" customFormat="1" ht="12" customHeight="1" x14ac:dyDescent="0.2">
      <c r="A8" s="405"/>
      <c r="B8" s="408"/>
      <c r="C8" s="413" t="s">
        <v>194</v>
      </c>
      <c r="D8" s="414" t="s">
        <v>195</v>
      </c>
      <c r="E8" s="414" t="s">
        <v>196</v>
      </c>
      <c r="F8" s="414" t="s">
        <v>197</v>
      </c>
      <c r="G8" s="414" t="s">
        <v>42</v>
      </c>
      <c r="H8" s="414" t="s">
        <v>43</v>
      </c>
      <c r="I8" s="418" t="s">
        <v>31</v>
      </c>
      <c r="J8" s="414" t="s">
        <v>29</v>
      </c>
      <c r="K8" s="414" t="s">
        <v>30</v>
      </c>
      <c r="L8" s="414" t="s">
        <v>32</v>
      </c>
      <c r="M8" s="415" t="s">
        <v>0</v>
      </c>
      <c r="N8" s="421" t="s">
        <v>194</v>
      </c>
      <c r="O8" s="414" t="s">
        <v>195</v>
      </c>
      <c r="P8" s="414" t="s">
        <v>196</v>
      </c>
      <c r="Q8" s="418" t="s">
        <v>31</v>
      </c>
      <c r="R8" s="415" t="s">
        <v>0</v>
      </c>
    </row>
    <row r="9" spans="1:22" s="261" customFormat="1" ht="12" customHeight="1" x14ac:dyDescent="0.2">
      <c r="A9" s="405"/>
      <c r="B9" s="408"/>
      <c r="C9" s="413"/>
      <c r="D9" s="414"/>
      <c r="E9" s="414"/>
      <c r="F9" s="414"/>
      <c r="G9" s="414"/>
      <c r="H9" s="414"/>
      <c r="I9" s="418"/>
      <c r="J9" s="414"/>
      <c r="K9" s="414"/>
      <c r="L9" s="414"/>
      <c r="M9" s="415"/>
      <c r="N9" s="421"/>
      <c r="O9" s="414"/>
      <c r="P9" s="414"/>
      <c r="Q9" s="418"/>
      <c r="R9" s="415"/>
    </row>
    <row r="10" spans="1:22" s="261" customFormat="1" ht="64.5" customHeight="1" x14ac:dyDescent="0.2">
      <c r="A10" s="405"/>
      <c r="B10" s="408"/>
      <c r="C10" s="413"/>
      <c r="D10" s="414"/>
      <c r="E10" s="414"/>
      <c r="F10" s="414"/>
      <c r="G10" s="414"/>
      <c r="H10" s="414"/>
      <c r="I10" s="418"/>
      <c r="J10" s="414"/>
      <c r="K10" s="414"/>
      <c r="L10" s="414"/>
      <c r="M10" s="415"/>
      <c r="N10" s="421"/>
      <c r="O10" s="414"/>
      <c r="P10" s="414"/>
      <c r="Q10" s="418"/>
      <c r="R10" s="415"/>
    </row>
    <row r="11" spans="1:22" s="261" customFormat="1" ht="15" customHeight="1" x14ac:dyDescent="0.2">
      <c r="A11" s="405"/>
      <c r="B11" s="408"/>
      <c r="C11" s="416" t="s">
        <v>27</v>
      </c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7"/>
    </row>
    <row r="12" spans="1:22" s="261" customFormat="1" ht="207.75" customHeight="1" x14ac:dyDescent="0.2">
      <c r="A12" s="406"/>
      <c r="B12" s="409"/>
      <c r="C12" s="262" t="s">
        <v>47</v>
      </c>
      <c r="D12" s="263" t="s">
        <v>47</v>
      </c>
      <c r="E12" s="263" t="s">
        <v>198</v>
      </c>
      <c r="F12" s="263" t="s">
        <v>199</v>
      </c>
      <c r="G12" s="263" t="s">
        <v>200</v>
      </c>
      <c r="H12" s="263" t="s">
        <v>201</v>
      </c>
      <c r="I12" s="264" t="s">
        <v>50</v>
      </c>
      <c r="J12" s="263" t="s">
        <v>44</v>
      </c>
      <c r="K12" s="263" t="s">
        <v>44</v>
      </c>
      <c r="L12" s="265" t="s">
        <v>202</v>
      </c>
      <c r="M12" s="266"/>
      <c r="N12" s="267" t="s">
        <v>47</v>
      </c>
      <c r="O12" s="263" t="s">
        <v>47</v>
      </c>
      <c r="P12" s="263" t="s">
        <v>203</v>
      </c>
      <c r="Q12" s="268" t="s">
        <v>45</v>
      </c>
      <c r="R12" s="266"/>
    </row>
    <row r="13" spans="1:22" s="272" customFormat="1" ht="14.25" x14ac:dyDescent="0.2">
      <c r="A13" s="102">
        <v>1</v>
      </c>
      <c r="B13" s="102">
        <v>2</v>
      </c>
      <c r="C13" s="269">
        <v>3</v>
      </c>
      <c r="D13" s="102">
        <v>4</v>
      </c>
      <c r="E13" s="269">
        <v>5</v>
      </c>
      <c r="F13" s="102">
        <v>6</v>
      </c>
      <c r="G13" s="269">
        <v>7</v>
      </c>
      <c r="H13" s="102">
        <v>8</v>
      </c>
      <c r="I13" s="270">
        <v>9</v>
      </c>
      <c r="J13" s="102">
        <v>10</v>
      </c>
      <c r="K13" s="269">
        <v>11</v>
      </c>
      <c r="L13" s="102">
        <v>12</v>
      </c>
      <c r="M13" s="269">
        <v>13</v>
      </c>
      <c r="N13" s="102">
        <v>14</v>
      </c>
      <c r="O13" s="269">
        <v>15</v>
      </c>
      <c r="P13" s="102">
        <v>16</v>
      </c>
      <c r="Q13" s="271">
        <v>17</v>
      </c>
      <c r="R13" s="102">
        <v>18</v>
      </c>
    </row>
    <row r="14" spans="1:22" ht="15" customHeight="1" x14ac:dyDescent="0.25">
      <c r="A14" s="187"/>
      <c r="B14" s="273"/>
      <c r="C14" s="422" t="s">
        <v>56</v>
      </c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  <c r="O14" s="422"/>
      <c r="P14" s="422"/>
      <c r="Q14" s="422"/>
      <c r="R14" s="423"/>
    </row>
    <row r="15" spans="1:22" s="277" customFormat="1" ht="63.75" x14ac:dyDescent="0.25">
      <c r="A15" s="206">
        <v>1</v>
      </c>
      <c r="B15" s="104" t="s">
        <v>2</v>
      </c>
      <c r="C15" s="274">
        <v>0</v>
      </c>
      <c r="D15" s="212">
        <v>0</v>
      </c>
      <c r="E15" s="275">
        <f>IFERROR(ROUND(C15/D15,9),0)</f>
        <v>0</v>
      </c>
      <c r="F15" s="210" t="s">
        <v>28</v>
      </c>
      <c r="G15" s="209">
        <f>IFERROR(ROUND((E15/P15*100-100),9),0)</f>
        <v>0</v>
      </c>
      <c r="H15" s="210" t="s">
        <v>28</v>
      </c>
      <c r="I15" s="276"/>
      <c r="J15" s="212"/>
      <c r="K15" s="212"/>
      <c r="L15" s="212">
        <v>0</v>
      </c>
      <c r="M15" s="213"/>
      <c r="N15" s="274"/>
      <c r="O15" s="212"/>
      <c r="P15" s="209">
        <f t="shared" ref="P15:P19" si="0">IFERROR(ROUND(N15/O15,9),0)</f>
        <v>0</v>
      </c>
      <c r="Q15" s="214"/>
      <c r="R15" s="213"/>
      <c r="T15" s="278" t="b">
        <f t="shared" ref="T15:T28" si="1">IF(L15&gt;0,1)</f>
        <v>0</v>
      </c>
      <c r="U15" s="278" t="b">
        <f t="shared" ref="U15:U28" si="2">IF(I15&gt;0,1)</f>
        <v>0</v>
      </c>
      <c r="V15" s="278"/>
    </row>
    <row r="16" spans="1:22" ht="127.5" x14ac:dyDescent="0.25">
      <c r="A16" s="215">
        <v>2</v>
      </c>
      <c r="B16" s="105" t="s">
        <v>3</v>
      </c>
      <c r="C16" s="216"/>
      <c r="D16" s="217"/>
      <c r="E16" s="218">
        <f t="shared" ref="E16:E27" si="3">IFERROR(ROUND(C16/D16,9),0)</f>
        <v>0</v>
      </c>
      <c r="F16" s="219" t="s">
        <v>28</v>
      </c>
      <c r="G16" s="220">
        <f t="shared" ref="G16:G22" si="4">IFERROR(ROUND((E16/P16*100-100),9),0)</f>
        <v>0</v>
      </c>
      <c r="H16" s="219" t="s">
        <v>28</v>
      </c>
      <c r="I16" s="279"/>
      <c r="J16" s="217"/>
      <c r="K16" s="217"/>
      <c r="L16" s="217">
        <v>0</v>
      </c>
      <c r="M16" s="223"/>
      <c r="N16" s="216"/>
      <c r="O16" s="217"/>
      <c r="P16" s="220">
        <f t="shared" si="0"/>
        <v>0</v>
      </c>
      <c r="Q16" s="224"/>
      <c r="R16" s="223"/>
      <c r="T16" s="278" t="b">
        <f t="shared" si="1"/>
        <v>0</v>
      </c>
      <c r="U16" s="278" t="b">
        <f t="shared" si="2"/>
        <v>0</v>
      </c>
    </row>
    <row r="17" spans="1:21" ht="147" customHeight="1" x14ac:dyDescent="0.25">
      <c r="A17" s="215">
        <v>3</v>
      </c>
      <c r="B17" s="105" t="s">
        <v>4</v>
      </c>
      <c r="C17" s="216"/>
      <c r="D17" s="217"/>
      <c r="E17" s="227">
        <f t="shared" si="3"/>
        <v>0</v>
      </c>
      <c r="F17" s="217" t="s">
        <v>28</v>
      </c>
      <c r="G17" s="220">
        <f t="shared" si="4"/>
        <v>0</v>
      </c>
      <c r="H17" s="217" t="s">
        <v>28</v>
      </c>
      <c r="I17" s="224"/>
      <c r="J17" s="217"/>
      <c r="K17" s="217"/>
      <c r="L17" s="217">
        <v>0</v>
      </c>
      <c r="M17" s="223"/>
      <c r="N17" s="216"/>
      <c r="O17" s="217"/>
      <c r="P17" s="220">
        <f t="shared" si="0"/>
        <v>0</v>
      </c>
      <c r="Q17" s="224"/>
      <c r="R17" s="223"/>
      <c r="T17" s="278" t="b">
        <f t="shared" si="1"/>
        <v>0</v>
      </c>
      <c r="U17" s="278" t="b">
        <f t="shared" si="2"/>
        <v>0</v>
      </c>
    </row>
    <row r="18" spans="1:21" ht="153" x14ac:dyDescent="0.25">
      <c r="A18" s="215">
        <v>4</v>
      </c>
      <c r="B18" s="105" t="s">
        <v>5</v>
      </c>
      <c r="C18" s="216"/>
      <c r="D18" s="217"/>
      <c r="E18" s="227">
        <f t="shared" si="3"/>
        <v>0</v>
      </c>
      <c r="F18" s="217" t="s">
        <v>28</v>
      </c>
      <c r="G18" s="220">
        <f t="shared" si="4"/>
        <v>0</v>
      </c>
      <c r="H18" s="217" t="s">
        <v>28</v>
      </c>
      <c r="I18" s="224"/>
      <c r="J18" s="217"/>
      <c r="K18" s="217"/>
      <c r="L18" s="217">
        <v>0</v>
      </c>
      <c r="M18" s="223"/>
      <c r="N18" s="216"/>
      <c r="O18" s="217"/>
      <c r="P18" s="220">
        <f t="shared" si="0"/>
        <v>0</v>
      </c>
      <c r="Q18" s="224"/>
      <c r="R18" s="223"/>
      <c r="T18" s="278" t="b">
        <f t="shared" si="1"/>
        <v>0</v>
      </c>
      <c r="U18" s="278" t="b">
        <f t="shared" si="2"/>
        <v>0</v>
      </c>
    </row>
    <row r="19" spans="1:21" ht="114.75" customHeight="1" x14ac:dyDescent="0.25">
      <c r="A19" s="215">
        <v>5</v>
      </c>
      <c r="B19" s="105" t="s">
        <v>6</v>
      </c>
      <c r="C19" s="216"/>
      <c r="D19" s="217"/>
      <c r="E19" s="227">
        <f t="shared" si="3"/>
        <v>0</v>
      </c>
      <c r="F19" s="217" t="s">
        <v>28</v>
      </c>
      <c r="G19" s="220">
        <f t="shared" si="4"/>
        <v>0</v>
      </c>
      <c r="H19" s="217" t="s">
        <v>28</v>
      </c>
      <c r="I19" s="224"/>
      <c r="J19" s="217"/>
      <c r="K19" s="217"/>
      <c r="L19" s="217">
        <v>0</v>
      </c>
      <c r="M19" s="223"/>
      <c r="N19" s="216"/>
      <c r="O19" s="217"/>
      <c r="P19" s="220">
        <f t="shared" si="0"/>
        <v>0</v>
      </c>
      <c r="Q19" s="224"/>
      <c r="R19" s="223"/>
      <c r="T19" s="278" t="b">
        <f t="shared" si="1"/>
        <v>0</v>
      </c>
      <c r="U19" s="278" t="b">
        <f t="shared" si="2"/>
        <v>0</v>
      </c>
    </row>
    <row r="20" spans="1:21" s="281" customFormat="1" ht="76.5" x14ac:dyDescent="0.25">
      <c r="A20" s="228">
        <v>6</v>
      </c>
      <c r="B20" s="106" t="s">
        <v>7</v>
      </c>
      <c r="C20" s="280"/>
      <c r="D20" s="230"/>
      <c r="E20" s="229">
        <f t="shared" si="3"/>
        <v>0</v>
      </c>
      <c r="F20" s="230"/>
      <c r="G20" s="230" t="s">
        <v>28</v>
      </c>
      <c r="H20" s="231">
        <f>IFERROR(ROUND(E20/F20,9),0)</f>
        <v>0</v>
      </c>
      <c r="I20" s="240"/>
      <c r="J20" s="230" t="s">
        <v>28</v>
      </c>
      <c r="K20" s="230"/>
      <c r="L20" s="230">
        <v>0</v>
      </c>
      <c r="M20" s="232"/>
      <c r="N20" s="230" t="s">
        <v>28</v>
      </c>
      <c r="O20" s="230" t="s">
        <v>28</v>
      </c>
      <c r="P20" s="230" t="s">
        <v>28</v>
      </c>
      <c r="Q20" s="240" t="s">
        <v>28</v>
      </c>
      <c r="R20" s="232"/>
      <c r="T20" s="278" t="b">
        <f t="shared" si="1"/>
        <v>0</v>
      </c>
      <c r="U20" s="278" t="b">
        <f t="shared" si="2"/>
        <v>0</v>
      </c>
    </row>
    <row r="21" spans="1:21" ht="140.25" x14ac:dyDescent="0.25">
      <c r="A21" s="215">
        <v>7</v>
      </c>
      <c r="B21" s="105" t="s">
        <v>8</v>
      </c>
      <c r="C21" s="216"/>
      <c r="D21" s="217"/>
      <c r="E21" s="227">
        <f t="shared" si="3"/>
        <v>0</v>
      </c>
      <c r="F21" s="217" t="s">
        <v>28</v>
      </c>
      <c r="G21" s="220">
        <f t="shared" si="4"/>
        <v>0</v>
      </c>
      <c r="H21" s="217" t="s">
        <v>28</v>
      </c>
      <c r="I21" s="224"/>
      <c r="J21" s="217"/>
      <c r="K21" s="217"/>
      <c r="L21" s="217">
        <v>0</v>
      </c>
      <c r="M21" s="223"/>
      <c r="N21" s="216"/>
      <c r="O21" s="217"/>
      <c r="P21" s="220">
        <f t="shared" ref="P21:P22" si="5">IFERROR(ROUND(N21/O21,9),0)</f>
        <v>0</v>
      </c>
      <c r="Q21" s="224"/>
      <c r="R21" s="223"/>
      <c r="T21" s="278" t="b">
        <f t="shared" si="1"/>
        <v>0</v>
      </c>
      <c r="U21" s="278" t="b">
        <f t="shared" si="2"/>
        <v>0</v>
      </c>
    </row>
    <row r="22" spans="1:21" ht="173.25" customHeight="1" x14ac:dyDescent="0.25">
      <c r="A22" s="215">
        <v>8</v>
      </c>
      <c r="B22" s="105" t="s">
        <v>15</v>
      </c>
      <c r="C22" s="216"/>
      <c r="D22" s="217"/>
      <c r="E22" s="227">
        <f t="shared" si="3"/>
        <v>0</v>
      </c>
      <c r="F22" s="217" t="s">
        <v>28</v>
      </c>
      <c r="G22" s="220">
        <f t="shared" si="4"/>
        <v>0</v>
      </c>
      <c r="H22" s="217" t="s">
        <v>28</v>
      </c>
      <c r="I22" s="224"/>
      <c r="J22" s="217"/>
      <c r="K22" s="217"/>
      <c r="L22" s="217">
        <v>0</v>
      </c>
      <c r="M22" s="223"/>
      <c r="N22" s="216"/>
      <c r="O22" s="217"/>
      <c r="P22" s="220">
        <f t="shared" si="5"/>
        <v>0</v>
      </c>
      <c r="Q22" s="224"/>
      <c r="R22" s="223"/>
      <c r="T22" s="278" t="b">
        <f t="shared" si="1"/>
        <v>0</v>
      </c>
      <c r="U22" s="278" t="b">
        <f t="shared" si="2"/>
        <v>0</v>
      </c>
    </row>
    <row r="23" spans="1:21" ht="122.25" customHeight="1" x14ac:dyDescent="0.25">
      <c r="A23" s="215">
        <v>9</v>
      </c>
      <c r="B23" s="105" t="s">
        <v>14</v>
      </c>
      <c r="C23" s="216"/>
      <c r="D23" s="217"/>
      <c r="E23" s="227">
        <f t="shared" si="3"/>
        <v>0</v>
      </c>
      <c r="F23" s="217"/>
      <c r="G23" s="217" t="s">
        <v>28</v>
      </c>
      <c r="H23" s="220">
        <f>IFERROR(ROUND(E23/F23,9),0)</f>
        <v>0</v>
      </c>
      <c r="I23" s="224"/>
      <c r="J23" s="217" t="s">
        <v>28</v>
      </c>
      <c r="K23" s="217"/>
      <c r="L23" s="217">
        <v>0</v>
      </c>
      <c r="M23" s="223"/>
      <c r="N23" s="217" t="s">
        <v>28</v>
      </c>
      <c r="O23" s="217" t="s">
        <v>28</v>
      </c>
      <c r="P23" s="217" t="s">
        <v>28</v>
      </c>
      <c r="Q23" s="224" t="s">
        <v>28</v>
      </c>
      <c r="R23" s="223"/>
      <c r="T23" s="278" t="b">
        <f t="shared" si="1"/>
        <v>0</v>
      </c>
      <c r="U23" s="278" t="b">
        <f t="shared" si="2"/>
        <v>0</v>
      </c>
    </row>
    <row r="24" spans="1:21" ht="140.25" x14ac:dyDescent="0.25">
      <c r="A24" s="215">
        <v>10</v>
      </c>
      <c r="B24" s="105" t="s">
        <v>13</v>
      </c>
      <c r="C24" s="216"/>
      <c r="D24" s="217"/>
      <c r="E24" s="227">
        <f t="shared" si="3"/>
        <v>0</v>
      </c>
      <c r="F24" s="217"/>
      <c r="G24" s="217" t="s">
        <v>28</v>
      </c>
      <c r="H24" s="220">
        <f>IFERROR(ROUND(E24/F24,9),0)</f>
        <v>0</v>
      </c>
      <c r="I24" s="224"/>
      <c r="J24" s="217" t="s">
        <v>28</v>
      </c>
      <c r="K24" s="217"/>
      <c r="L24" s="217">
        <v>0</v>
      </c>
      <c r="M24" s="223"/>
      <c r="N24" s="217" t="s">
        <v>28</v>
      </c>
      <c r="O24" s="217" t="s">
        <v>28</v>
      </c>
      <c r="P24" s="217" t="s">
        <v>28</v>
      </c>
      <c r="Q24" s="224" t="s">
        <v>28</v>
      </c>
      <c r="R24" s="223"/>
      <c r="T24" s="278" t="b">
        <f t="shared" si="1"/>
        <v>0</v>
      </c>
      <c r="U24" s="278" t="b">
        <f t="shared" si="2"/>
        <v>0</v>
      </c>
    </row>
    <row r="25" spans="1:21" ht="114.75" x14ac:dyDescent="0.25">
      <c r="A25" s="215">
        <v>11</v>
      </c>
      <c r="B25" s="105" t="s">
        <v>12</v>
      </c>
      <c r="C25" s="216"/>
      <c r="D25" s="217"/>
      <c r="E25" s="227">
        <f t="shared" si="3"/>
        <v>0</v>
      </c>
      <c r="F25" s="217"/>
      <c r="G25" s="217" t="s">
        <v>28</v>
      </c>
      <c r="H25" s="220">
        <f>IFERROR(ROUND(E25/F25,9),0)</f>
        <v>0</v>
      </c>
      <c r="I25" s="224"/>
      <c r="J25" s="217" t="s">
        <v>28</v>
      </c>
      <c r="K25" s="217"/>
      <c r="L25" s="217">
        <v>0</v>
      </c>
      <c r="M25" s="223"/>
      <c r="N25" s="217" t="s">
        <v>28</v>
      </c>
      <c r="O25" s="217" t="s">
        <v>28</v>
      </c>
      <c r="P25" s="217" t="s">
        <v>28</v>
      </c>
      <c r="Q25" s="224" t="s">
        <v>28</v>
      </c>
      <c r="R25" s="223"/>
      <c r="T25" s="278" t="b">
        <f t="shared" si="1"/>
        <v>0</v>
      </c>
      <c r="U25" s="278" t="b">
        <f t="shared" si="2"/>
        <v>0</v>
      </c>
    </row>
    <row r="26" spans="1:21" ht="97.5" customHeight="1" x14ac:dyDescent="0.25">
      <c r="A26" s="215">
        <v>12</v>
      </c>
      <c r="B26" s="105" t="s">
        <v>11</v>
      </c>
      <c r="C26" s="216"/>
      <c r="D26" s="217"/>
      <c r="E26" s="227">
        <f t="shared" si="3"/>
        <v>0</v>
      </c>
      <c r="F26" s="217" t="s">
        <v>28</v>
      </c>
      <c r="G26" s="220">
        <f t="shared" ref="G26:G28" si="6">IFERROR(ROUND((E26/P26*100-100),9),0)</f>
        <v>0</v>
      </c>
      <c r="H26" s="217" t="s">
        <v>28</v>
      </c>
      <c r="I26" s="224"/>
      <c r="J26" s="217"/>
      <c r="K26" s="217"/>
      <c r="L26" s="217">
        <v>0</v>
      </c>
      <c r="M26" s="223"/>
      <c r="N26" s="216"/>
      <c r="O26" s="217"/>
      <c r="P26" s="220">
        <f t="shared" ref="P26:P27" si="7">IFERROR(ROUND(N26/O26,9),0)</f>
        <v>0</v>
      </c>
      <c r="Q26" s="224"/>
      <c r="R26" s="223"/>
      <c r="T26" s="278" t="b">
        <f t="shared" si="1"/>
        <v>0</v>
      </c>
      <c r="U26" s="278" t="b">
        <f t="shared" si="2"/>
        <v>0</v>
      </c>
    </row>
    <row r="27" spans="1:21" ht="119.25" customHeight="1" x14ac:dyDescent="0.25">
      <c r="A27" s="215">
        <v>13</v>
      </c>
      <c r="B27" s="105" t="s">
        <v>10</v>
      </c>
      <c r="C27" s="216"/>
      <c r="D27" s="217"/>
      <c r="E27" s="227">
        <f t="shared" si="3"/>
        <v>0</v>
      </c>
      <c r="F27" s="217" t="s">
        <v>28</v>
      </c>
      <c r="G27" s="220">
        <f t="shared" si="6"/>
        <v>0</v>
      </c>
      <c r="H27" s="217" t="s">
        <v>28</v>
      </c>
      <c r="I27" s="224"/>
      <c r="J27" s="217"/>
      <c r="K27" s="217"/>
      <c r="L27" s="217">
        <v>0</v>
      </c>
      <c r="M27" s="223"/>
      <c r="N27" s="216"/>
      <c r="O27" s="217"/>
      <c r="P27" s="220">
        <f t="shared" si="7"/>
        <v>0</v>
      </c>
      <c r="Q27" s="224"/>
      <c r="R27" s="223"/>
      <c r="T27" s="278" t="b">
        <f t="shared" si="1"/>
        <v>0</v>
      </c>
      <c r="U27" s="278" t="b">
        <f t="shared" si="2"/>
        <v>0</v>
      </c>
    </row>
    <row r="28" spans="1:21" ht="140.25" x14ac:dyDescent="0.25">
      <c r="A28" s="215">
        <v>14</v>
      </c>
      <c r="B28" s="99" t="s">
        <v>9</v>
      </c>
      <c r="C28" s="216"/>
      <c r="D28" s="217"/>
      <c r="E28" s="227">
        <f>IFERROR(ROUND(C28/D28,9),0)</f>
        <v>0</v>
      </c>
      <c r="F28" s="217" t="s">
        <v>28</v>
      </c>
      <c r="G28" s="220">
        <f t="shared" si="6"/>
        <v>0</v>
      </c>
      <c r="H28" s="217" t="s">
        <v>28</v>
      </c>
      <c r="I28" s="224"/>
      <c r="J28" s="217"/>
      <c r="K28" s="217"/>
      <c r="L28" s="217">
        <v>0</v>
      </c>
      <c r="M28" s="223"/>
      <c r="N28" s="216"/>
      <c r="O28" s="217"/>
      <c r="P28" s="220">
        <f>IFERROR(ROUND(N28/O28,9),0)</f>
        <v>0</v>
      </c>
      <c r="Q28" s="224"/>
      <c r="R28" s="223"/>
      <c r="T28" s="278" t="b">
        <f t="shared" si="1"/>
        <v>0</v>
      </c>
      <c r="U28" s="278" t="b">
        <f t="shared" si="2"/>
        <v>0</v>
      </c>
    </row>
    <row r="29" spans="1:21" ht="27.75" customHeight="1" x14ac:dyDescent="0.25">
      <c r="A29" s="234"/>
      <c r="B29" s="107"/>
      <c r="C29" s="401" t="s">
        <v>57</v>
      </c>
      <c r="D29" s="401"/>
      <c r="E29" s="401"/>
      <c r="F29" s="401"/>
      <c r="G29" s="401"/>
      <c r="H29" s="401"/>
      <c r="I29" s="401"/>
      <c r="J29" s="401"/>
      <c r="K29" s="401"/>
      <c r="L29" s="401"/>
      <c r="M29" s="401"/>
      <c r="N29" s="401"/>
      <c r="O29" s="401"/>
      <c r="P29" s="401"/>
      <c r="Q29" s="401"/>
      <c r="R29" s="402"/>
      <c r="T29" s="278"/>
      <c r="U29" s="278"/>
    </row>
    <row r="30" spans="1:21" s="281" customFormat="1" ht="42.75" customHeight="1" x14ac:dyDescent="0.25">
      <c r="A30" s="228">
        <v>15</v>
      </c>
      <c r="B30" s="100" t="s">
        <v>16</v>
      </c>
      <c r="C30" s="238">
        <v>13091</v>
      </c>
      <c r="D30" s="239">
        <v>12375</v>
      </c>
      <c r="E30" s="282">
        <f t="shared" ref="E30:E35" si="8">IFERROR(ROUND(C30/D30,9),0)</f>
        <v>1.057858586</v>
      </c>
      <c r="F30" s="230">
        <v>0.95</v>
      </c>
      <c r="G30" s="230" t="s">
        <v>28</v>
      </c>
      <c r="H30" s="230">
        <f t="shared" ref="H30:H35" si="9">IFERROR(ROUND(E30/F30,9),0)</f>
        <v>1.1135353539999999</v>
      </c>
      <c r="I30" s="240">
        <v>1</v>
      </c>
      <c r="J30" s="230">
        <v>1</v>
      </c>
      <c r="K30" s="230">
        <v>0</v>
      </c>
      <c r="L30" s="230">
        <v>1</v>
      </c>
      <c r="M30" s="232"/>
      <c r="N30" s="230" t="s">
        <v>28</v>
      </c>
      <c r="O30" s="230" t="s">
        <v>28</v>
      </c>
      <c r="P30" s="240" t="s">
        <v>28</v>
      </c>
      <c r="Q30" s="240">
        <v>1</v>
      </c>
      <c r="R30" s="232"/>
      <c r="T30" s="278">
        <f>IF(L30&gt;0,1)</f>
        <v>1</v>
      </c>
      <c r="U30" s="278">
        <f>IF(I30&gt;0,1)</f>
        <v>1</v>
      </c>
    </row>
    <row r="31" spans="1:21" ht="136.5" customHeight="1" x14ac:dyDescent="0.25">
      <c r="A31" s="215">
        <v>16</v>
      </c>
      <c r="B31" s="99" t="s">
        <v>17</v>
      </c>
      <c r="C31" s="216">
        <v>112</v>
      </c>
      <c r="D31" s="217">
        <v>148</v>
      </c>
      <c r="E31" s="227">
        <f t="shared" si="8"/>
        <v>0.756756757</v>
      </c>
      <c r="F31" s="217">
        <v>0.7</v>
      </c>
      <c r="G31" s="217" t="s">
        <v>28</v>
      </c>
      <c r="H31" s="220">
        <f t="shared" si="9"/>
        <v>1.081081081</v>
      </c>
      <c r="I31" s="224">
        <v>1</v>
      </c>
      <c r="J31" s="217">
        <v>1</v>
      </c>
      <c r="K31" s="222">
        <v>0</v>
      </c>
      <c r="L31" s="217">
        <v>1</v>
      </c>
      <c r="M31" s="223"/>
      <c r="N31" s="217" t="s">
        <v>28</v>
      </c>
      <c r="O31" s="217" t="s">
        <v>28</v>
      </c>
      <c r="P31" s="222" t="s">
        <v>28</v>
      </c>
      <c r="Q31" s="226">
        <v>1</v>
      </c>
      <c r="R31" s="223"/>
      <c r="T31" s="278">
        <f t="shared" ref="T31:T32" si="10">IF(L31&gt;0,1)</f>
        <v>1</v>
      </c>
      <c r="U31" s="278">
        <f t="shared" ref="U31:U32" si="11">IF(I31&gt;0,1)</f>
        <v>1</v>
      </c>
    </row>
    <row r="32" spans="1:21" ht="149.25" customHeight="1" x14ac:dyDescent="0.25">
      <c r="A32" s="215">
        <v>17</v>
      </c>
      <c r="B32" s="99" t="s">
        <v>18</v>
      </c>
      <c r="C32" s="216">
        <v>55</v>
      </c>
      <c r="D32" s="217">
        <v>140</v>
      </c>
      <c r="E32" s="227">
        <f t="shared" si="8"/>
        <v>0.39285714300000002</v>
      </c>
      <c r="F32" s="217">
        <v>0.7</v>
      </c>
      <c r="G32" s="217" t="s">
        <v>28</v>
      </c>
      <c r="H32" s="220">
        <f t="shared" si="9"/>
        <v>0.56122448999999996</v>
      </c>
      <c r="I32" s="224">
        <v>0.5</v>
      </c>
      <c r="J32" s="217">
        <v>0</v>
      </c>
      <c r="K32" s="222">
        <v>1</v>
      </c>
      <c r="L32" s="217">
        <v>1</v>
      </c>
      <c r="M32" s="223"/>
      <c r="N32" s="217" t="s">
        <v>28</v>
      </c>
      <c r="O32" s="217" t="s">
        <v>28</v>
      </c>
      <c r="P32" s="222" t="s">
        <v>28</v>
      </c>
      <c r="Q32" s="226">
        <v>1</v>
      </c>
      <c r="R32" s="223"/>
      <c r="T32" s="278">
        <f t="shared" si="10"/>
        <v>1</v>
      </c>
      <c r="U32" s="278">
        <f t="shared" si="11"/>
        <v>1</v>
      </c>
    </row>
    <row r="33" spans="1:22" ht="114.75" x14ac:dyDescent="0.25">
      <c r="A33" s="215">
        <v>18</v>
      </c>
      <c r="B33" s="99" t="s">
        <v>19</v>
      </c>
      <c r="C33" s="216">
        <v>600</v>
      </c>
      <c r="D33" s="217">
        <v>2074</v>
      </c>
      <c r="E33" s="227">
        <f t="shared" si="8"/>
        <v>0.28929604599999997</v>
      </c>
      <c r="F33" s="217">
        <v>0.7</v>
      </c>
      <c r="G33" s="217" t="s">
        <v>28</v>
      </c>
      <c r="H33" s="220">
        <f t="shared" si="9"/>
        <v>0.413280066</v>
      </c>
      <c r="I33" s="224">
        <v>0.5</v>
      </c>
      <c r="J33" s="217">
        <v>0</v>
      </c>
      <c r="K33" s="217">
        <v>1</v>
      </c>
      <c r="L33" s="217">
        <v>1</v>
      </c>
      <c r="M33" s="223"/>
      <c r="N33" s="217" t="s">
        <v>28</v>
      </c>
      <c r="O33" s="217" t="s">
        <v>28</v>
      </c>
      <c r="P33" s="222" t="s">
        <v>28</v>
      </c>
      <c r="Q33" s="226">
        <v>0.5</v>
      </c>
      <c r="R33" s="223"/>
      <c r="T33" s="278">
        <f>IF(L33&gt;0,1)</f>
        <v>1</v>
      </c>
      <c r="U33" s="278">
        <f>IF(I33&gt;0,1)</f>
        <v>1</v>
      </c>
    </row>
    <row r="34" spans="1:22" ht="129" customHeight="1" x14ac:dyDescent="0.25">
      <c r="A34" s="215">
        <v>19</v>
      </c>
      <c r="B34" s="99" t="s">
        <v>20</v>
      </c>
      <c r="C34" s="216">
        <v>66</v>
      </c>
      <c r="D34" s="217">
        <v>86</v>
      </c>
      <c r="E34" s="227">
        <f t="shared" si="8"/>
        <v>0.76744186000000003</v>
      </c>
      <c r="F34" s="217">
        <v>0.7</v>
      </c>
      <c r="G34" s="217" t="s">
        <v>28</v>
      </c>
      <c r="H34" s="220">
        <f t="shared" si="9"/>
        <v>1.096345514</v>
      </c>
      <c r="I34" s="224">
        <v>2</v>
      </c>
      <c r="J34" s="217">
        <v>1</v>
      </c>
      <c r="K34" s="222">
        <v>0</v>
      </c>
      <c r="L34" s="217">
        <v>1</v>
      </c>
      <c r="M34" s="223"/>
      <c r="N34" s="217" t="s">
        <v>28</v>
      </c>
      <c r="O34" s="217" t="s">
        <v>28</v>
      </c>
      <c r="P34" s="222" t="s">
        <v>28</v>
      </c>
      <c r="Q34" s="226">
        <v>1</v>
      </c>
      <c r="R34" s="223"/>
      <c r="T34" s="278">
        <f t="shared" ref="T34:T35" si="12">IF(L34&gt;0,1)</f>
        <v>1</v>
      </c>
      <c r="U34" s="278">
        <f t="shared" ref="U34:U35" si="13">IF(I34&gt;0,1)</f>
        <v>1</v>
      </c>
    </row>
    <row r="35" spans="1:22" ht="174.75" customHeight="1" x14ac:dyDescent="0.25">
      <c r="A35" s="215">
        <v>20</v>
      </c>
      <c r="B35" s="99" t="s">
        <v>21</v>
      </c>
      <c r="C35" s="216">
        <v>251</v>
      </c>
      <c r="D35" s="217">
        <v>269</v>
      </c>
      <c r="E35" s="227">
        <f t="shared" si="8"/>
        <v>0.93308550199999996</v>
      </c>
      <c r="F35" s="217">
        <v>0.7</v>
      </c>
      <c r="G35" s="217" t="s">
        <v>28</v>
      </c>
      <c r="H35" s="220">
        <f t="shared" si="9"/>
        <v>1.3329792890000001</v>
      </c>
      <c r="I35" s="224">
        <v>1</v>
      </c>
      <c r="J35" s="217">
        <v>1</v>
      </c>
      <c r="K35" s="217">
        <v>0</v>
      </c>
      <c r="L35" s="217">
        <v>1</v>
      </c>
      <c r="M35" s="223"/>
      <c r="N35" s="217" t="s">
        <v>28</v>
      </c>
      <c r="O35" s="217" t="s">
        <v>28</v>
      </c>
      <c r="P35" s="222" t="s">
        <v>28</v>
      </c>
      <c r="Q35" s="226">
        <v>0.5</v>
      </c>
      <c r="R35" s="223"/>
      <c r="T35" s="278">
        <f t="shared" si="12"/>
        <v>1</v>
      </c>
      <c r="U35" s="278">
        <f t="shared" si="13"/>
        <v>1</v>
      </c>
    </row>
    <row r="36" spans="1:22" ht="20.25" x14ac:dyDescent="0.3">
      <c r="A36" s="234"/>
      <c r="B36" s="107"/>
      <c r="C36" s="401" t="s">
        <v>58</v>
      </c>
      <c r="D36" s="401"/>
      <c r="E36" s="401"/>
      <c r="F36" s="401"/>
      <c r="G36" s="401"/>
      <c r="H36" s="401"/>
      <c r="I36" s="401"/>
      <c r="J36" s="401"/>
      <c r="K36" s="401"/>
      <c r="L36" s="401"/>
      <c r="M36" s="401"/>
      <c r="N36" s="401"/>
      <c r="O36" s="401"/>
      <c r="P36" s="401"/>
      <c r="Q36" s="401"/>
      <c r="R36" s="402"/>
      <c r="T36" s="283">
        <f>SUM(T15:T35)</f>
        <v>6</v>
      </c>
      <c r="U36" s="283">
        <f>SUM(U15:U35)</f>
        <v>6</v>
      </c>
      <c r="V36" s="284">
        <f>U36/T36</f>
        <v>1</v>
      </c>
    </row>
    <row r="37" spans="1:22" s="281" customFormat="1" ht="69" customHeight="1" x14ac:dyDescent="0.25">
      <c r="A37" s="228">
        <v>21</v>
      </c>
      <c r="B37" s="106" t="s">
        <v>22</v>
      </c>
      <c r="C37" s="280">
        <v>26</v>
      </c>
      <c r="D37" s="230">
        <v>154</v>
      </c>
      <c r="E37" s="229">
        <f t="shared" ref="E37:E41" si="14">IFERROR(ROUND(C37/D37,9),0)</f>
        <v>0.168831169</v>
      </c>
      <c r="F37" s="230" t="s">
        <v>28</v>
      </c>
      <c r="G37" s="231">
        <f t="shared" ref="G37:G40" si="15">IFERROR(ROUND((E37/P37*100-100),9),0)</f>
        <v>59.893048458000003</v>
      </c>
      <c r="H37" s="230" t="s">
        <v>28</v>
      </c>
      <c r="I37" s="240">
        <v>1</v>
      </c>
      <c r="J37" s="230">
        <v>1</v>
      </c>
      <c r="K37" s="230">
        <v>0</v>
      </c>
      <c r="L37" s="230">
        <v>1</v>
      </c>
      <c r="M37" s="232"/>
      <c r="N37" s="280">
        <v>17</v>
      </c>
      <c r="O37" s="230">
        <v>161</v>
      </c>
      <c r="P37" s="231">
        <f>IFERROR(ROUND(N37/O37,9),0)</f>
        <v>0.105590062</v>
      </c>
      <c r="Q37" s="240"/>
      <c r="R37" s="232"/>
      <c r="T37" s="278">
        <f t="shared" ref="T37:T41" si="16">IF(L37&gt;0,1)</f>
        <v>1</v>
      </c>
      <c r="U37" s="278">
        <f t="shared" ref="U37:U41" si="17">IF(I37&gt;0,1)</f>
        <v>1</v>
      </c>
    </row>
    <row r="38" spans="1:22" s="281" customFormat="1" ht="98.25" customHeight="1" x14ac:dyDescent="0.25">
      <c r="A38" s="228">
        <v>22</v>
      </c>
      <c r="B38" s="106" t="s">
        <v>23</v>
      </c>
      <c r="C38" s="280">
        <v>0</v>
      </c>
      <c r="D38" s="230">
        <v>540</v>
      </c>
      <c r="E38" s="229">
        <f t="shared" si="14"/>
        <v>0</v>
      </c>
      <c r="F38" s="230">
        <v>0.1</v>
      </c>
      <c r="G38" s="230" t="s">
        <v>28</v>
      </c>
      <c r="H38" s="231">
        <f t="shared" ref="H38" si="18">IFERROR(ROUND(E38/F38,9),0)</f>
        <v>0</v>
      </c>
      <c r="I38" s="240">
        <v>0</v>
      </c>
      <c r="J38" s="230" t="s">
        <v>28</v>
      </c>
      <c r="K38" s="230">
        <v>0</v>
      </c>
      <c r="L38" s="230">
        <v>1</v>
      </c>
      <c r="M38" s="232"/>
      <c r="N38" s="230" t="s">
        <v>28</v>
      </c>
      <c r="O38" s="230" t="s">
        <v>28</v>
      </c>
      <c r="P38" s="230" t="s">
        <v>28</v>
      </c>
      <c r="Q38" s="240" t="s">
        <v>28</v>
      </c>
      <c r="R38" s="232"/>
      <c r="T38" s="278">
        <f t="shared" si="16"/>
        <v>1</v>
      </c>
      <c r="U38" s="278" t="b">
        <f t="shared" si="17"/>
        <v>0</v>
      </c>
    </row>
    <row r="39" spans="1:22" ht="114.75" x14ac:dyDescent="0.25">
      <c r="A39" s="215">
        <v>23</v>
      </c>
      <c r="B39" s="105" t="s">
        <v>24</v>
      </c>
      <c r="C39" s="216"/>
      <c r="D39" s="217"/>
      <c r="E39" s="227">
        <f t="shared" si="14"/>
        <v>0</v>
      </c>
      <c r="F39" s="217" t="s">
        <v>28</v>
      </c>
      <c r="G39" s="220">
        <f t="shared" si="15"/>
        <v>0</v>
      </c>
      <c r="H39" s="217" t="s">
        <v>28</v>
      </c>
      <c r="I39" s="224"/>
      <c r="J39" s="217"/>
      <c r="K39" s="217"/>
      <c r="L39" s="217">
        <v>0</v>
      </c>
      <c r="M39" s="223"/>
      <c r="N39" s="216"/>
      <c r="O39" s="217"/>
      <c r="P39" s="220">
        <f>IFERROR(ROUND(N39/O39,9),0)</f>
        <v>0</v>
      </c>
      <c r="Q39" s="224"/>
      <c r="R39" s="223"/>
      <c r="T39" s="278" t="b">
        <f t="shared" si="16"/>
        <v>0</v>
      </c>
      <c r="U39" s="278" t="b">
        <f t="shared" si="17"/>
        <v>0</v>
      </c>
    </row>
    <row r="40" spans="1:22" ht="114.75" x14ac:dyDescent="0.25">
      <c r="A40" s="215">
        <v>24</v>
      </c>
      <c r="B40" s="105" t="s">
        <v>25</v>
      </c>
      <c r="C40" s="216"/>
      <c r="D40" s="217"/>
      <c r="E40" s="227">
        <f t="shared" si="14"/>
        <v>0</v>
      </c>
      <c r="F40" s="217" t="s">
        <v>28</v>
      </c>
      <c r="G40" s="220">
        <f t="shared" si="15"/>
        <v>0</v>
      </c>
      <c r="H40" s="217" t="s">
        <v>28</v>
      </c>
      <c r="I40" s="224"/>
      <c r="J40" s="217"/>
      <c r="K40" s="217"/>
      <c r="L40" s="217">
        <v>0</v>
      </c>
      <c r="M40" s="223"/>
      <c r="N40" s="216"/>
      <c r="O40" s="217"/>
      <c r="P40" s="220">
        <f>IFERROR(ROUND(N40/O40,9),0)</f>
        <v>0</v>
      </c>
      <c r="Q40" s="224"/>
      <c r="R40" s="223"/>
      <c r="T40" s="278" t="b">
        <f t="shared" si="16"/>
        <v>0</v>
      </c>
      <c r="U40" s="278" t="b">
        <f t="shared" si="17"/>
        <v>0</v>
      </c>
    </row>
    <row r="41" spans="1:22" s="281" customFormat="1" ht="111" customHeight="1" x14ac:dyDescent="0.25">
      <c r="A41" s="228">
        <v>25</v>
      </c>
      <c r="B41" s="106" t="s">
        <v>26</v>
      </c>
      <c r="C41" s="280">
        <v>879</v>
      </c>
      <c r="D41" s="230">
        <v>890</v>
      </c>
      <c r="E41" s="229">
        <f t="shared" si="14"/>
        <v>0.98764044900000003</v>
      </c>
      <c r="F41" s="230">
        <v>0.89</v>
      </c>
      <c r="G41" s="230" t="s">
        <v>28</v>
      </c>
      <c r="H41" s="231">
        <f t="shared" ref="H41" si="19">IFERROR(ROUND(E41/F41,9),0)</f>
        <v>1.1097083700000001</v>
      </c>
      <c r="I41" s="240">
        <v>2</v>
      </c>
      <c r="J41" s="230" t="s">
        <v>28</v>
      </c>
      <c r="K41" s="230">
        <v>1</v>
      </c>
      <c r="L41" s="230">
        <v>1</v>
      </c>
      <c r="M41" s="232"/>
      <c r="N41" s="230" t="s">
        <v>28</v>
      </c>
      <c r="O41" s="230" t="s">
        <v>28</v>
      </c>
      <c r="P41" s="230" t="s">
        <v>28</v>
      </c>
      <c r="Q41" s="240">
        <v>0</v>
      </c>
      <c r="R41" s="232"/>
      <c r="T41" s="278">
        <f t="shared" si="16"/>
        <v>1</v>
      </c>
      <c r="U41" s="278">
        <f t="shared" si="17"/>
        <v>1</v>
      </c>
    </row>
    <row r="42" spans="1:22" ht="20.25" x14ac:dyDescent="0.3">
      <c r="A42" s="241"/>
      <c r="B42" s="108"/>
      <c r="C42" s="401" t="s">
        <v>59</v>
      </c>
      <c r="D42" s="401"/>
      <c r="E42" s="401"/>
      <c r="F42" s="401"/>
      <c r="G42" s="401"/>
      <c r="H42" s="401"/>
      <c r="I42" s="401"/>
      <c r="J42" s="401"/>
      <c r="K42" s="401"/>
      <c r="L42" s="401"/>
      <c r="M42" s="401"/>
      <c r="N42" s="401"/>
      <c r="O42" s="401"/>
      <c r="P42" s="401"/>
      <c r="Q42" s="401"/>
      <c r="R42" s="402"/>
      <c r="T42" s="283">
        <f>SUM(T37:T41)</f>
        <v>3</v>
      </c>
      <c r="U42" s="283">
        <f>SUM(U37:U41)</f>
        <v>2</v>
      </c>
      <c r="V42" s="284">
        <f>U42/T42</f>
        <v>0.66666666666666663</v>
      </c>
    </row>
    <row r="43" spans="1:22" s="277" customFormat="1" ht="38.25" x14ac:dyDescent="0.25">
      <c r="A43" s="206">
        <v>26</v>
      </c>
      <c r="B43" s="104" t="s">
        <v>40</v>
      </c>
      <c r="C43" s="274">
        <v>0</v>
      </c>
      <c r="D43" s="212">
        <v>0</v>
      </c>
      <c r="E43" s="275">
        <f>IFERROR(ROUND(C43/D43,9),0)</f>
        <v>0</v>
      </c>
      <c r="F43" s="212">
        <v>0</v>
      </c>
      <c r="G43" s="212" t="s">
        <v>28</v>
      </c>
      <c r="H43" s="209">
        <f t="shared" ref="H43" si="20">IFERROR(ROUND(E43/F43,9),0)</f>
        <v>0</v>
      </c>
      <c r="I43" s="214"/>
      <c r="J43" s="212"/>
      <c r="K43" s="212"/>
      <c r="L43" s="212">
        <v>0</v>
      </c>
      <c r="M43" s="213"/>
      <c r="N43" s="274"/>
      <c r="O43" s="212"/>
      <c r="P43" s="209">
        <f>IFERROR(ROUND(N43/O43,9),0)</f>
        <v>0</v>
      </c>
      <c r="Q43" s="214"/>
      <c r="R43" s="213"/>
    </row>
    <row r="44" spans="1:22" x14ac:dyDescent="0.25">
      <c r="A44" s="215"/>
      <c r="B44" s="109"/>
      <c r="C44" s="250"/>
      <c r="D44" s="215"/>
      <c r="E44" s="215"/>
      <c r="F44" s="215"/>
      <c r="G44" s="215"/>
      <c r="H44" s="215"/>
      <c r="I44" s="285"/>
      <c r="J44" s="215"/>
      <c r="K44" s="215"/>
      <c r="L44" s="215"/>
      <c r="M44" s="286"/>
      <c r="N44" s="250"/>
      <c r="O44" s="215"/>
      <c r="P44" s="215"/>
      <c r="Q44" s="285"/>
      <c r="R44" s="286"/>
    </row>
    <row r="45" spans="1:22" x14ac:dyDescent="0.25">
      <c r="A45" s="215"/>
      <c r="B45" s="109"/>
      <c r="C45" s="250"/>
      <c r="D45" s="215"/>
      <c r="E45" s="215"/>
      <c r="F45" s="215"/>
      <c r="G45" s="215"/>
      <c r="H45" s="215"/>
      <c r="I45" s="285"/>
      <c r="J45" s="215"/>
      <c r="K45" s="215"/>
      <c r="L45" s="215"/>
      <c r="M45" s="286"/>
      <c r="N45" s="250"/>
      <c r="O45" s="215"/>
      <c r="P45" s="215"/>
      <c r="Q45" s="285"/>
      <c r="R45" s="286"/>
    </row>
    <row r="46" spans="1:22" x14ac:dyDescent="0.25">
      <c r="A46" s="215"/>
      <c r="B46" s="109"/>
      <c r="C46" s="250"/>
      <c r="D46" s="215"/>
      <c r="E46" s="215"/>
      <c r="F46" s="215"/>
      <c r="G46" s="215"/>
      <c r="H46" s="215"/>
      <c r="I46" s="285"/>
      <c r="J46" s="215"/>
      <c r="K46" s="215"/>
      <c r="L46" s="215"/>
      <c r="M46" s="286"/>
      <c r="N46" s="250"/>
      <c r="O46" s="215"/>
      <c r="P46" s="215"/>
      <c r="Q46" s="285"/>
      <c r="R46" s="286"/>
    </row>
    <row r="47" spans="1:22" x14ac:dyDescent="0.25">
      <c r="A47" s="215"/>
      <c r="B47" s="109"/>
      <c r="C47" s="250"/>
      <c r="D47" s="215"/>
      <c r="E47" s="215"/>
      <c r="F47" s="215"/>
      <c r="G47" s="215"/>
      <c r="H47" s="215"/>
      <c r="I47" s="285"/>
      <c r="J47" s="215"/>
      <c r="K47" s="215"/>
      <c r="L47" s="215"/>
      <c r="M47" s="286"/>
      <c r="N47" s="250"/>
      <c r="O47" s="215"/>
      <c r="P47" s="215"/>
      <c r="Q47" s="285"/>
      <c r="R47" s="286"/>
    </row>
    <row r="48" spans="1:22" x14ac:dyDescent="0.25">
      <c r="A48" s="215"/>
      <c r="B48" s="109"/>
      <c r="C48" s="250"/>
      <c r="D48" s="215"/>
      <c r="E48" s="215"/>
      <c r="F48" s="215"/>
      <c r="G48" s="215"/>
      <c r="H48" s="215"/>
      <c r="I48" s="285"/>
      <c r="J48" s="215"/>
      <c r="K48" s="215"/>
      <c r="L48" s="215"/>
      <c r="M48" s="286"/>
      <c r="N48" s="250"/>
      <c r="O48" s="215"/>
      <c r="P48" s="215"/>
      <c r="Q48" s="285"/>
      <c r="R48" s="286"/>
    </row>
    <row r="49" spans="1:18" x14ac:dyDescent="0.25">
      <c r="A49" s="215"/>
      <c r="B49" s="109"/>
      <c r="C49" s="250"/>
      <c r="D49" s="215"/>
      <c r="E49" s="215"/>
      <c r="F49" s="215"/>
      <c r="G49" s="215"/>
      <c r="H49" s="215"/>
      <c r="I49" s="285"/>
      <c r="J49" s="215"/>
      <c r="K49" s="215"/>
      <c r="L49" s="215"/>
      <c r="M49" s="286"/>
      <c r="N49" s="250"/>
      <c r="O49" s="215"/>
      <c r="P49" s="215"/>
      <c r="Q49" s="285"/>
      <c r="R49" s="286"/>
    </row>
    <row r="50" spans="1:18" x14ac:dyDescent="0.25">
      <c r="A50" s="215"/>
      <c r="B50" s="109"/>
      <c r="C50" s="250"/>
      <c r="D50" s="215"/>
      <c r="E50" s="215"/>
      <c r="F50" s="215"/>
      <c r="G50" s="215"/>
      <c r="H50" s="215"/>
      <c r="I50" s="285"/>
      <c r="J50" s="215"/>
      <c r="K50" s="215"/>
      <c r="L50" s="215"/>
      <c r="M50" s="286"/>
      <c r="N50" s="250"/>
      <c r="O50" s="215"/>
      <c r="P50" s="215"/>
      <c r="Q50" s="285"/>
      <c r="R50" s="286"/>
    </row>
    <row r="51" spans="1:18" x14ac:dyDescent="0.25">
      <c r="A51" s="215"/>
      <c r="B51" s="109"/>
      <c r="C51" s="250"/>
      <c r="D51" s="215"/>
      <c r="E51" s="215"/>
      <c r="F51" s="215"/>
      <c r="G51" s="215"/>
      <c r="H51" s="215"/>
      <c r="I51" s="285"/>
      <c r="J51" s="215"/>
      <c r="K51" s="215"/>
      <c r="L51" s="215"/>
      <c r="M51" s="286"/>
      <c r="N51" s="250"/>
      <c r="O51" s="215"/>
      <c r="P51" s="215"/>
      <c r="Q51" s="285"/>
      <c r="R51" s="286"/>
    </row>
    <row r="52" spans="1:18" x14ac:dyDescent="0.25">
      <c r="A52" s="215"/>
      <c r="B52" s="109"/>
      <c r="C52" s="250"/>
      <c r="D52" s="215"/>
      <c r="E52" s="215"/>
      <c r="F52" s="215"/>
      <c r="G52" s="215"/>
      <c r="H52" s="215"/>
      <c r="I52" s="285"/>
      <c r="J52" s="215"/>
      <c r="K52" s="215"/>
      <c r="L52" s="215"/>
      <c r="M52" s="286"/>
      <c r="N52" s="250"/>
      <c r="O52" s="215"/>
      <c r="P52" s="215"/>
      <c r="Q52" s="285"/>
      <c r="R52" s="286"/>
    </row>
    <row r="53" spans="1:18" ht="51.75" customHeight="1" x14ac:dyDescent="0.25">
      <c r="A53" s="419"/>
      <c r="B53" s="419"/>
      <c r="C53" s="419"/>
      <c r="D53" s="419"/>
      <c r="E53" s="419"/>
      <c r="F53" s="419"/>
      <c r="G53" s="419"/>
      <c r="H53" s="419"/>
      <c r="I53" s="419"/>
      <c r="J53" s="419"/>
      <c r="K53" s="419"/>
      <c r="L53" s="419"/>
      <c r="M53" s="419"/>
      <c r="N53" s="419"/>
      <c r="O53" s="419"/>
      <c r="P53" s="419"/>
      <c r="Q53" s="419"/>
      <c r="R53" s="419"/>
    </row>
    <row r="54" spans="1:18" ht="19.5" customHeight="1" x14ac:dyDescent="0.25">
      <c r="A54" s="419"/>
      <c r="B54" s="420"/>
      <c r="C54" s="420"/>
      <c r="D54" s="420"/>
      <c r="E54" s="420"/>
      <c r="F54" s="420"/>
      <c r="G54" s="420"/>
      <c r="H54" s="420"/>
      <c r="I54" s="420"/>
      <c r="J54" s="420"/>
      <c r="K54" s="420"/>
      <c r="L54" s="420"/>
      <c r="M54" s="420"/>
      <c r="N54" s="420"/>
      <c r="O54" s="420"/>
      <c r="P54" s="420"/>
      <c r="Q54" s="287"/>
      <c r="R54" s="261"/>
    </row>
    <row r="55" spans="1:18" x14ac:dyDescent="0.25">
      <c r="A55" s="260"/>
      <c r="B55" s="110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</row>
    <row r="57" spans="1:18" x14ac:dyDescent="0.25">
      <c r="C57" s="346"/>
      <c r="D57" s="346"/>
      <c r="E57" s="346"/>
      <c r="F57" s="346"/>
      <c r="G57" s="346"/>
      <c r="H57" s="346"/>
      <c r="I57" s="346"/>
      <c r="J57" s="346"/>
      <c r="K57" s="346"/>
      <c r="L57" s="346"/>
      <c r="M57" s="346"/>
      <c r="N57" s="346"/>
      <c r="O57" s="346"/>
      <c r="P57" s="346"/>
      <c r="Q57" s="346"/>
      <c r="R57" s="346"/>
    </row>
    <row r="59" spans="1:18" ht="18.75" x14ac:dyDescent="0.3">
      <c r="I59" s="288"/>
      <c r="J59" s="288"/>
      <c r="K59" s="288"/>
      <c r="L59" s="288"/>
    </row>
    <row r="60" spans="1:18" ht="18.75" x14ac:dyDescent="0.3">
      <c r="I60" s="288"/>
      <c r="J60" s="288"/>
      <c r="K60" s="288"/>
      <c r="L60" s="289"/>
    </row>
    <row r="61" spans="1:18" ht="18.75" x14ac:dyDescent="0.3">
      <c r="I61" s="288"/>
      <c r="J61" s="288"/>
      <c r="K61" s="288"/>
      <c r="L61" s="290"/>
    </row>
    <row r="62" spans="1:18" ht="18.75" x14ac:dyDescent="0.3">
      <c r="I62" s="288"/>
      <c r="J62" s="288"/>
      <c r="K62" s="288"/>
      <c r="L62" s="288"/>
    </row>
  </sheetData>
  <autoFilter ref="A13:R55"/>
  <mergeCells count="28"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2"/>
  <sheetViews>
    <sheetView view="pageBreakPreview" topLeftCell="E1" zoomScale="70" zoomScaleNormal="70" zoomScaleSheetLayoutView="70" workbookViewId="0">
      <selection activeCell="A54" sqref="A54:P54"/>
    </sheetView>
  </sheetViews>
  <sheetFormatPr defaultRowHeight="15" x14ac:dyDescent="0.25"/>
  <cols>
    <col min="1" max="1" width="9.42578125" style="257" customWidth="1"/>
    <col min="2" max="2" width="28.42578125" style="101" customWidth="1"/>
    <col min="3" max="3" width="16" style="258" customWidth="1"/>
    <col min="4" max="4" width="16.7109375" style="155" customWidth="1"/>
    <col min="5" max="5" width="24.28515625" style="155" customWidth="1"/>
    <col min="6" max="8" width="19.85546875" style="155" customWidth="1"/>
    <col min="9" max="9" width="19.85546875" style="291" customWidth="1"/>
    <col min="10" max="11" width="19.85546875" style="155" customWidth="1"/>
    <col min="12" max="12" width="18" style="155" customWidth="1"/>
    <col min="13" max="13" width="13.7109375" style="155" customWidth="1"/>
    <col min="14" max="14" width="16" style="155" customWidth="1"/>
    <col min="15" max="15" width="16.7109375" style="155" customWidth="1"/>
    <col min="16" max="16" width="24.28515625" style="155" customWidth="1"/>
    <col min="17" max="17" width="19.85546875" style="259" customWidth="1"/>
    <col min="18" max="18" width="13.140625" style="155" customWidth="1"/>
    <col min="19" max="19" width="9.140625" style="155"/>
    <col min="20" max="21" width="9.28515625" style="155" bestFit="1" customWidth="1"/>
    <col min="22" max="22" width="10.140625" style="155" bestFit="1" customWidth="1"/>
    <col min="23" max="16384" width="9.140625" style="155"/>
  </cols>
  <sheetData>
    <row r="1" spans="1:23" ht="16.5" x14ac:dyDescent="0.25">
      <c r="R1" s="87" t="s">
        <v>80</v>
      </c>
    </row>
    <row r="2" spans="1:23" ht="16.5" x14ac:dyDescent="0.25">
      <c r="R2" s="97" t="s">
        <v>79</v>
      </c>
    </row>
    <row r="3" spans="1:23" ht="16.5" x14ac:dyDescent="0.25">
      <c r="R3" s="97" t="str">
        <f>МОБ!$R$3</f>
        <v>№ 10-01 от 25.06.2024</v>
      </c>
    </row>
    <row r="5" spans="1:23" ht="15.75" x14ac:dyDescent="0.25">
      <c r="R5" s="98" t="s">
        <v>81</v>
      </c>
    </row>
    <row r="6" spans="1:23" ht="25.5" customHeight="1" thickBot="1" x14ac:dyDescent="0.3">
      <c r="A6" s="403" t="str">
        <f>СВОД!A1</f>
        <v xml:space="preserve">Мониторинг достижения значений показателей результативности деятельности за декабрь 2023 –  май 2024 года 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</row>
    <row r="7" spans="1:23" s="260" customFormat="1" ht="21.75" customHeight="1" x14ac:dyDescent="0.25">
      <c r="A7" s="404" t="s">
        <v>55</v>
      </c>
      <c r="B7" s="407" t="s">
        <v>54</v>
      </c>
      <c r="C7" s="410" t="s">
        <v>52</v>
      </c>
      <c r="D7" s="410"/>
      <c r="E7" s="410"/>
      <c r="F7" s="410"/>
      <c r="G7" s="410"/>
      <c r="H7" s="410"/>
      <c r="I7" s="410"/>
      <c r="J7" s="410"/>
      <c r="K7" s="410"/>
      <c r="L7" s="410"/>
      <c r="M7" s="411"/>
      <c r="N7" s="412" t="s">
        <v>1</v>
      </c>
      <c r="O7" s="410"/>
      <c r="P7" s="410"/>
      <c r="Q7" s="410"/>
      <c r="R7" s="411"/>
    </row>
    <row r="8" spans="1:23" s="261" customFormat="1" ht="12" customHeight="1" x14ac:dyDescent="0.2">
      <c r="A8" s="405"/>
      <c r="B8" s="408"/>
      <c r="C8" s="413" t="s">
        <v>194</v>
      </c>
      <c r="D8" s="414" t="s">
        <v>195</v>
      </c>
      <c r="E8" s="414" t="s">
        <v>196</v>
      </c>
      <c r="F8" s="414" t="s">
        <v>197</v>
      </c>
      <c r="G8" s="414" t="s">
        <v>42</v>
      </c>
      <c r="H8" s="414" t="s">
        <v>43</v>
      </c>
      <c r="I8" s="424" t="s">
        <v>31</v>
      </c>
      <c r="J8" s="414" t="s">
        <v>29</v>
      </c>
      <c r="K8" s="414" t="s">
        <v>30</v>
      </c>
      <c r="L8" s="414" t="s">
        <v>32</v>
      </c>
      <c r="M8" s="415" t="s">
        <v>0</v>
      </c>
      <c r="N8" s="421" t="s">
        <v>194</v>
      </c>
      <c r="O8" s="414" t="s">
        <v>195</v>
      </c>
      <c r="P8" s="414" t="s">
        <v>196</v>
      </c>
      <c r="Q8" s="418" t="s">
        <v>31</v>
      </c>
      <c r="R8" s="415" t="s">
        <v>0</v>
      </c>
    </row>
    <row r="9" spans="1:23" s="261" customFormat="1" ht="12" customHeight="1" x14ac:dyDescent="0.2">
      <c r="A9" s="405"/>
      <c r="B9" s="408"/>
      <c r="C9" s="413"/>
      <c r="D9" s="414"/>
      <c r="E9" s="414"/>
      <c r="F9" s="414"/>
      <c r="G9" s="414"/>
      <c r="H9" s="414"/>
      <c r="I9" s="424"/>
      <c r="J9" s="414"/>
      <c r="K9" s="414"/>
      <c r="L9" s="414"/>
      <c r="M9" s="415"/>
      <c r="N9" s="421"/>
      <c r="O9" s="414"/>
      <c r="P9" s="414"/>
      <c r="Q9" s="418"/>
      <c r="R9" s="415"/>
    </row>
    <row r="10" spans="1:23" s="261" customFormat="1" ht="64.5" customHeight="1" x14ac:dyDescent="0.2">
      <c r="A10" s="405"/>
      <c r="B10" s="408"/>
      <c r="C10" s="413"/>
      <c r="D10" s="414"/>
      <c r="E10" s="414"/>
      <c r="F10" s="414"/>
      <c r="G10" s="414"/>
      <c r="H10" s="414"/>
      <c r="I10" s="424"/>
      <c r="J10" s="414"/>
      <c r="K10" s="414"/>
      <c r="L10" s="414"/>
      <c r="M10" s="415"/>
      <c r="N10" s="421"/>
      <c r="O10" s="414"/>
      <c r="P10" s="414"/>
      <c r="Q10" s="418"/>
      <c r="R10" s="415"/>
    </row>
    <row r="11" spans="1:23" s="261" customFormat="1" ht="15" customHeight="1" x14ac:dyDescent="0.2">
      <c r="A11" s="405"/>
      <c r="B11" s="408"/>
      <c r="C11" s="416" t="s">
        <v>27</v>
      </c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7"/>
    </row>
    <row r="12" spans="1:23" s="261" customFormat="1" ht="207.75" customHeight="1" x14ac:dyDescent="0.2">
      <c r="A12" s="406"/>
      <c r="B12" s="409"/>
      <c r="C12" s="262" t="s">
        <v>47</v>
      </c>
      <c r="D12" s="263" t="s">
        <v>47</v>
      </c>
      <c r="E12" s="263" t="s">
        <v>198</v>
      </c>
      <c r="F12" s="263" t="s">
        <v>199</v>
      </c>
      <c r="G12" s="263" t="s">
        <v>200</v>
      </c>
      <c r="H12" s="263" t="s">
        <v>201</v>
      </c>
      <c r="I12" s="292" t="s">
        <v>50</v>
      </c>
      <c r="J12" s="263" t="s">
        <v>44</v>
      </c>
      <c r="K12" s="263" t="s">
        <v>44</v>
      </c>
      <c r="L12" s="265" t="s">
        <v>202</v>
      </c>
      <c r="M12" s="266"/>
      <c r="N12" s="267" t="s">
        <v>47</v>
      </c>
      <c r="O12" s="263" t="s">
        <v>47</v>
      </c>
      <c r="P12" s="263" t="s">
        <v>203</v>
      </c>
      <c r="Q12" s="268" t="s">
        <v>45</v>
      </c>
      <c r="R12" s="266"/>
    </row>
    <row r="13" spans="1:23" s="272" customFormat="1" ht="14.25" x14ac:dyDescent="0.2">
      <c r="A13" s="102">
        <v>1</v>
      </c>
      <c r="B13" s="102">
        <v>2</v>
      </c>
      <c r="C13" s="269">
        <v>3</v>
      </c>
      <c r="D13" s="102">
        <v>4</v>
      </c>
      <c r="E13" s="269">
        <v>5</v>
      </c>
      <c r="F13" s="102">
        <v>6</v>
      </c>
      <c r="G13" s="269">
        <v>7</v>
      </c>
      <c r="H13" s="102">
        <v>8</v>
      </c>
      <c r="I13" s="293">
        <v>9</v>
      </c>
      <c r="J13" s="102">
        <v>10</v>
      </c>
      <c r="K13" s="269">
        <v>11</v>
      </c>
      <c r="L13" s="102">
        <v>12</v>
      </c>
      <c r="M13" s="269">
        <v>13</v>
      </c>
      <c r="N13" s="102">
        <v>14</v>
      </c>
      <c r="O13" s="269">
        <v>15</v>
      </c>
      <c r="P13" s="102">
        <v>16</v>
      </c>
      <c r="Q13" s="271">
        <v>17</v>
      </c>
      <c r="R13" s="102">
        <v>18</v>
      </c>
    </row>
    <row r="14" spans="1:23" ht="15" customHeight="1" x14ac:dyDescent="0.25">
      <c r="A14" s="187"/>
      <c r="B14" s="103"/>
      <c r="C14" s="399" t="s">
        <v>56</v>
      </c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400"/>
    </row>
    <row r="15" spans="1:23" s="277" customFormat="1" ht="63.75" x14ac:dyDescent="0.25">
      <c r="A15" s="206">
        <v>1</v>
      </c>
      <c r="B15" s="104" t="s">
        <v>2</v>
      </c>
      <c r="C15" s="242">
        <f>2566+13633</f>
        <v>16199</v>
      </c>
      <c r="D15" s="243">
        <f>27329+158+115576</f>
        <v>143063</v>
      </c>
      <c r="E15" s="246">
        <f>IFERROR(ROUND(C15/D15,9),0)</f>
        <v>0.113229836</v>
      </c>
      <c r="F15" s="294" t="s">
        <v>28</v>
      </c>
      <c r="G15" s="246">
        <f>IFERROR(ROUND((E15/P15*100-100),9),0)</f>
        <v>62.190155549000004</v>
      </c>
      <c r="H15" s="294" t="s">
        <v>28</v>
      </c>
      <c r="I15" s="295">
        <v>1</v>
      </c>
      <c r="J15" s="245">
        <v>1</v>
      </c>
      <c r="K15" s="245">
        <v>0</v>
      </c>
      <c r="L15" s="245">
        <v>1</v>
      </c>
      <c r="M15" s="248"/>
      <c r="N15" s="242">
        <f>1411+(4193+1721+299)</f>
        <v>7624</v>
      </c>
      <c r="O15" s="243">
        <f>21204+88002</f>
        <v>109206</v>
      </c>
      <c r="P15" s="246">
        <f t="shared" ref="P15:P19" si="0">IFERROR(ROUND(N15/O15,9),0)</f>
        <v>6.9813014000000007E-2</v>
      </c>
      <c r="Q15" s="211">
        <v>1</v>
      </c>
      <c r="R15" s="248"/>
      <c r="T15" s="278">
        <f t="shared" ref="T15:T28" si="1">IF(L15&gt;0,1)</f>
        <v>1</v>
      </c>
      <c r="U15" s="278">
        <f t="shared" ref="U15:U28" si="2">IF(I15&gt;0,1)</f>
        <v>1</v>
      </c>
      <c r="V15" s="278"/>
      <c r="W15" s="278"/>
    </row>
    <row r="16" spans="1:23" ht="135" customHeight="1" x14ac:dyDescent="0.25">
      <c r="A16" s="215">
        <v>2</v>
      </c>
      <c r="B16" s="105" t="s">
        <v>3</v>
      </c>
      <c r="C16" s="296">
        <v>161</v>
      </c>
      <c r="D16" s="297">
        <v>627</v>
      </c>
      <c r="E16" s="298">
        <f t="shared" ref="E16:E27" si="3">IFERROR(ROUND(C16/D16,9),0)</f>
        <v>0.25677830899999998</v>
      </c>
      <c r="F16" s="299" t="s">
        <v>28</v>
      </c>
      <c r="G16" s="300">
        <f t="shared" ref="G16:G22" si="4">IFERROR(ROUND((E16/P16*100-100),9),0)</f>
        <v>-21.354446152000001</v>
      </c>
      <c r="H16" s="299" t="s">
        <v>28</v>
      </c>
      <c r="I16" s="301">
        <v>0</v>
      </c>
      <c r="J16" s="297">
        <v>0</v>
      </c>
      <c r="K16" s="297">
        <v>0</v>
      </c>
      <c r="L16" s="297">
        <v>1</v>
      </c>
      <c r="M16" s="302"/>
      <c r="N16" s="296">
        <v>223</v>
      </c>
      <c r="O16" s="297">
        <v>683</v>
      </c>
      <c r="P16" s="300">
        <f t="shared" si="0"/>
        <v>0.32650073200000002</v>
      </c>
      <c r="Q16" s="303">
        <v>0</v>
      </c>
      <c r="R16" s="302"/>
      <c r="T16" s="278">
        <f t="shared" si="1"/>
        <v>1</v>
      </c>
      <c r="U16" s="278" t="b">
        <f t="shared" si="2"/>
        <v>0</v>
      </c>
    </row>
    <row r="17" spans="1:21" ht="133.5" customHeight="1" x14ac:dyDescent="0.25">
      <c r="A17" s="215">
        <v>3</v>
      </c>
      <c r="B17" s="105" t="s">
        <v>4</v>
      </c>
      <c r="C17" s="296">
        <v>1</v>
      </c>
      <c r="D17" s="297">
        <v>74</v>
      </c>
      <c r="E17" s="304">
        <f t="shared" si="3"/>
        <v>1.3513514000000001E-2</v>
      </c>
      <c r="F17" s="297" t="s">
        <v>28</v>
      </c>
      <c r="G17" s="338">
        <f t="shared" si="4"/>
        <v>32.432432431999999</v>
      </c>
      <c r="H17" s="297" t="s">
        <v>28</v>
      </c>
      <c r="I17" s="305">
        <v>1</v>
      </c>
      <c r="J17" s="297">
        <v>1</v>
      </c>
      <c r="K17" s="297">
        <v>0</v>
      </c>
      <c r="L17" s="306">
        <v>1</v>
      </c>
      <c r="M17" s="302"/>
      <c r="N17" s="296">
        <v>1</v>
      </c>
      <c r="O17" s="297">
        <v>98</v>
      </c>
      <c r="P17" s="300">
        <f t="shared" si="0"/>
        <v>1.0204082E-2</v>
      </c>
      <c r="Q17" s="303">
        <v>0</v>
      </c>
      <c r="R17" s="302"/>
      <c r="T17" s="278">
        <f t="shared" si="1"/>
        <v>1</v>
      </c>
      <c r="U17" s="278">
        <f t="shared" si="2"/>
        <v>1</v>
      </c>
    </row>
    <row r="18" spans="1:21" ht="160.5" customHeight="1" x14ac:dyDescent="0.25">
      <c r="A18" s="215">
        <v>4</v>
      </c>
      <c r="B18" s="105" t="s">
        <v>5</v>
      </c>
      <c r="C18" s="296">
        <v>1</v>
      </c>
      <c r="D18" s="297">
        <v>28</v>
      </c>
      <c r="E18" s="304">
        <f t="shared" si="3"/>
        <v>3.5714285999999998E-2</v>
      </c>
      <c r="F18" s="297" t="s">
        <v>28</v>
      </c>
      <c r="G18" s="300">
        <f t="shared" si="4"/>
        <v>-70.714285597</v>
      </c>
      <c r="H18" s="297" t="s">
        <v>28</v>
      </c>
      <c r="I18" s="305">
        <v>0</v>
      </c>
      <c r="J18" s="297">
        <v>0</v>
      </c>
      <c r="K18" s="297">
        <v>0</v>
      </c>
      <c r="L18" s="297">
        <v>1</v>
      </c>
      <c r="M18" s="302"/>
      <c r="N18" s="296">
        <v>5</v>
      </c>
      <c r="O18" s="297">
        <v>41</v>
      </c>
      <c r="P18" s="300">
        <f t="shared" si="0"/>
        <v>0.12195122</v>
      </c>
      <c r="Q18" s="303">
        <v>0</v>
      </c>
      <c r="R18" s="302"/>
      <c r="T18" s="278">
        <f t="shared" si="1"/>
        <v>1</v>
      </c>
      <c r="U18" s="278" t="b">
        <f t="shared" si="2"/>
        <v>0</v>
      </c>
    </row>
    <row r="19" spans="1:21" ht="134.25" customHeight="1" x14ac:dyDescent="0.25">
      <c r="A19" s="215">
        <v>5</v>
      </c>
      <c r="B19" s="105" t="s">
        <v>6</v>
      </c>
      <c r="C19" s="296">
        <v>39</v>
      </c>
      <c r="D19" s="297">
        <v>171</v>
      </c>
      <c r="E19" s="304">
        <f t="shared" si="3"/>
        <v>0.22807017500000001</v>
      </c>
      <c r="F19" s="297" t="s">
        <v>28</v>
      </c>
      <c r="G19" s="300">
        <f t="shared" si="4"/>
        <v>-29.457364547000001</v>
      </c>
      <c r="H19" s="297" t="s">
        <v>28</v>
      </c>
      <c r="I19" s="305">
        <v>0</v>
      </c>
      <c r="J19" s="297">
        <v>0</v>
      </c>
      <c r="K19" s="297">
        <v>0</v>
      </c>
      <c r="L19" s="297">
        <v>1</v>
      </c>
      <c r="M19" s="302"/>
      <c r="N19" s="296">
        <v>43</v>
      </c>
      <c r="O19" s="297">
        <v>133</v>
      </c>
      <c r="P19" s="300">
        <f t="shared" si="0"/>
        <v>0.32330827099999998</v>
      </c>
      <c r="Q19" s="305">
        <v>0</v>
      </c>
      <c r="R19" s="302"/>
      <c r="T19" s="278">
        <f t="shared" si="1"/>
        <v>1</v>
      </c>
      <c r="U19" s="278" t="b">
        <f t="shared" si="2"/>
        <v>0</v>
      </c>
    </row>
    <row r="20" spans="1:21" s="281" customFormat="1" ht="76.5" x14ac:dyDescent="0.3">
      <c r="A20" s="228">
        <v>6</v>
      </c>
      <c r="B20" s="106" t="s">
        <v>7</v>
      </c>
      <c r="C20" s="307">
        <v>420</v>
      </c>
      <c r="D20" s="308">
        <v>333</v>
      </c>
      <c r="E20" s="309">
        <f t="shared" si="3"/>
        <v>1.261261261</v>
      </c>
      <c r="F20" s="308">
        <v>0.95</v>
      </c>
      <c r="G20" s="308" t="s">
        <v>28</v>
      </c>
      <c r="H20" s="310">
        <f>IFERROR(ROUND(E20/F20,9),0)</f>
        <v>1.327643433</v>
      </c>
      <c r="I20" s="311">
        <v>2</v>
      </c>
      <c r="J20" s="308" t="s">
        <v>219</v>
      </c>
      <c r="K20" s="308">
        <v>0</v>
      </c>
      <c r="L20" s="308">
        <v>1</v>
      </c>
      <c r="M20" s="312"/>
      <c r="N20" s="308" t="s">
        <v>28</v>
      </c>
      <c r="O20" s="308" t="s">
        <v>28</v>
      </c>
      <c r="P20" s="308" t="s">
        <v>28</v>
      </c>
      <c r="Q20" s="340">
        <v>2</v>
      </c>
      <c r="R20" s="312"/>
      <c r="T20" s="343">
        <v>0</v>
      </c>
      <c r="U20" s="278">
        <f t="shared" si="2"/>
        <v>1</v>
      </c>
    </row>
    <row r="21" spans="1:21" ht="108.75" customHeight="1" x14ac:dyDescent="0.25">
      <c r="A21" s="215">
        <v>7</v>
      </c>
      <c r="B21" s="105" t="s">
        <v>8</v>
      </c>
      <c r="C21" s="296">
        <v>5660</v>
      </c>
      <c r="D21" s="297">
        <v>8135</v>
      </c>
      <c r="E21" s="304">
        <f t="shared" si="3"/>
        <v>0.69575906600000004</v>
      </c>
      <c r="F21" s="297" t="s">
        <v>28</v>
      </c>
      <c r="G21" s="300">
        <f t="shared" si="4"/>
        <v>30.338569876000001</v>
      </c>
      <c r="H21" s="297" t="s">
        <v>28</v>
      </c>
      <c r="I21" s="313">
        <v>2</v>
      </c>
      <c r="J21" s="297">
        <v>1</v>
      </c>
      <c r="K21" s="297">
        <v>0</v>
      </c>
      <c r="L21" s="297">
        <v>1</v>
      </c>
      <c r="M21" s="302"/>
      <c r="N21" s="296">
        <v>3142</v>
      </c>
      <c r="O21" s="297">
        <v>5886</v>
      </c>
      <c r="P21" s="300">
        <f t="shared" ref="P21:P22" si="5">IFERROR(ROUND(N21/O21,9),0)</f>
        <v>0.53380903800000001</v>
      </c>
      <c r="Q21" s="303">
        <v>1</v>
      </c>
      <c r="R21" s="302"/>
      <c r="T21" s="278">
        <f t="shared" si="1"/>
        <v>1</v>
      </c>
      <c r="U21" s="278">
        <f t="shared" si="2"/>
        <v>1</v>
      </c>
    </row>
    <row r="22" spans="1:21" ht="168.75" customHeight="1" x14ac:dyDescent="0.25">
      <c r="A22" s="215">
        <v>8</v>
      </c>
      <c r="B22" s="105" t="s">
        <v>15</v>
      </c>
      <c r="C22" s="296">
        <v>2382</v>
      </c>
      <c r="D22" s="297">
        <v>8135</v>
      </c>
      <c r="E22" s="304">
        <f t="shared" si="3"/>
        <v>0.29280885099999998</v>
      </c>
      <c r="F22" s="297" t="s">
        <v>28</v>
      </c>
      <c r="G22" s="300">
        <f t="shared" si="4"/>
        <v>-32.938797807</v>
      </c>
      <c r="H22" s="297" t="s">
        <v>28</v>
      </c>
      <c r="I22" s="313">
        <v>1</v>
      </c>
      <c r="J22" s="297">
        <v>1</v>
      </c>
      <c r="K22" s="297">
        <v>0</v>
      </c>
      <c r="L22" s="297">
        <v>1</v>
      </c>
      <c r="M22" s="302"/>
      <c r="N22" s="296">
        <v>2570</v>
      </c>
      <c r="O22" s="297">
        <v>5886</v>
      </c>
      <c r="P22" s="300">
        <f t="shared" si="5"/>
        <v>0.43662929</v>
      </c>
      <c r="Q22" s="303">
        <v>0.5</v>
      </c>
      <c r="R22" s="302"/>
      <c r="T22" s="278">
        <f t="shared" si="1"/>
        <v>1</v>
      </c>
      <c r="U22" s="278">
        <f t="shared" si="2"/>
        <v>1</v>
      </c>
    </row>
    <row r="23" spans="1:21" ht="114.75" x14ac:dyDescent="0.25">
      <c r="A23" s="215">
        <v>9</v>
      </c>
      <c r="B23" s="105" t="s">
        <v>14</v>
      </c>
      <c r="C23" s="296">
        <v>215</v>
      </c>
      <c r="D23" s="297">
        <v>627</v>
      </c>
      <c r="E23" s="304">
        <f t="shared" si="3"/>
        <v>0.34290271100000003</v>
      </c>
      <c r="F23" s="297">
        <v>0.8</v>
      </c>
      <c r="G23" s="297" t="s">
        <v>28</v>
      </c>
      <c r="H23" s="300">
        <f>ROUND(E23/F23,9)</f>
        <v>0.428628389</v>
      </c>
      <c r="I23" s="313">
        <v>0.5</v>
      </c>
      <c r="J23" s="297" t="s">
        <v>28</v>
      </c>
      <c r="K23" s="297">
        <v>1</v>
      </c>
      <c r="L23" s="297">
        <v>1</v>
      </c>
      <c r="M23" s="302"/>
      <c r="N23" s="297" t="s">
        <v>28</v>
      </c>
      <c r="O23" s="297" t="s">
        <v>28</v>
      </c>
      <c r="P23" s="297" t="s">
        <v>28</v>
      </c>
      <c r="Q23" s="313">
        <v>0.5</v>
      </c>
      <c r="R23" s="302"/>
      <c r="T23" s="278">
        <f t="shared" si="1"/>
        <v>1</v>
      </c>
      <c r="U23" s="278">
        <f t="shared" si="2"/>
        <v>1</v>
      </c>
    </row>
    <row r="24" spans="1:21" ht="140.25" x14ac:dyDescent="0.25">
      <c r="A24" s="215">
        <v>10</v>
      </c>
      <c r="B24" s="105" t="s">
        <v>13</v>
      </c>
      <c r="C24" s="314">
        <v>6</v>
      </c>
      <c r="D24" s="306">
        <v>28</v>
      </c>
      <c r="E24" s="304">
        <f t="shared" si="3"/>
        <v>0.21428571399999999</v>
      </c>
      <c r="F24" s="297">
        <v>0.8</v>
      </c>
      <c r="G24" s="297" t="s">
        <v>28</v>
      </c>
      <c r="H24" s="300">
        <f>ROUND(E24/F24,9)</f>
        <v>0.26785714300000002</v>
      </c>
      <c r="I24" s="305">
        <v>0.5</v>
      </c>
      <c r="J24" s="297" t="s">
        <v>28</v>
      </c>
      <c r="K24" s="297">
        <v>1</v>
      </c>
      <c r="L24" s="297">
        <v>1</v>
      </c>
      <c r="M24" s="302"/>
      <c r="N24" s="297" t="s">
        <v>28</v>
      </c>
      <c r="O24" s="297" t="s">
        <v>28</v>
      </c>
      <c r="P24" s="297" t="s">
        <v>28</v>
      </c>
      <c r="Q24" s="339">
        <v>0</v>
      </c>
      <c r="R24" s="302"/>
      <c r="T24" s="278">
        <f t="shared" si="1"/>
        <v>1</v>
      </c>
      <c r="U24" s="278">
        <f t="shared" si="2"/>
        <v>1</v>
      </c>
    </row>
    <row r="25" spans="1:21" ht="120" customHeight="1" x14ac:dyDescent="0.25">
      <c r="A25" s="215">
        <v>11</v>
      </c>
      <c r="B25" s="105" t="s">
        <v>12</v>
      </c>
      <c r="C25" s="314">
        <v>149</v>
      </c>
      <c r="D25" s="306">
        <v>171</v>
      </c>
      <c r="E25" s="304">
        <f t="shared" si="3"/>
        <v>0.87134502899999999</v>
      </c>
      <c r="F25" s="297">
        <v>0.8</v>
      </c>
      <c r="G25" s="297" t="s">
        <v>28</v>
      </c>
      <c r="H25" s="300">
        <f>ROUND(E25/F25,9)</f>
        <v>1.0891812860000001</v>
      </c>
      <c r="I25" s="313">
        <v>2</v>
      </c>
      <c r="J25" s="297" t="s">
        <v>28</v>
      </c>
      <c r="K25" s="297">
        <v>0</v>
      </c>
      <c r="L25" s="297">
        <v>1</v>
      </c>
      <c r="M25" s="302"/>
      <c r="N25" s="297" t="s">
        <v>28</v>
      </c>
      <c r="O25" s="297" t="s">
        <v>28</v>
      </c>
      <c r="P25" s="297" t="s">
        <v>28</v>
      </c>
      <c r="Q25" s="303">
        <v>0.5</v>
      </c>
      <c r="R25" s="302"/>
      <c r="T25" s="278">
        <f t="shared" si="1"/>
        <v>1</v>
      </c>
      <c r="U25" s="278">
        <f t="shared" si="2"/>
        <v>1</v>
      </c>
    </row>
    <row r="26" spans="1:21" ht="146.25" customHeight="1" x14ac:dyDescent="0.25">
      <c r="A26" s="215">
        <v>12</v>
      </c>
      <c r="B26" s="105" t="s">
        <v>11</v>
      </c>
      <c r="C26" s="296">
        <v>107</v>
      </c>
      <c r="D26" s="297">
        <v>27381</v>
      </c>
      <c r="E26" s="304">
        <f t="shared" si="3"/>
        <v>3.9078189999999999E-3</v>
      </c>
      <c r="F26" s="297" t="s">
        <v>28</v>
      </c>
      <c r="G26" s="300">
        <f t="shared" ref="G26:G28" si="6">IFERROR(ROUND((E26/P26*100-100),9),0)</f>
        <v>-8.5470143479999994</v>
      </c>
      <c r="H26" s="297" t="s">
        <v>28</v>
      </c>
      <c r="I26" s="305">
        <v>0.5</v>
      </c>
      <c r="J26" s="297">
        <v>1</v>
      </c>
      <c r="K26" s="297">
        <v>0</v>
      </c>
      <c r="L26" s="297">
        <v>1</v>
      </c>
      <c r="M26" s="302"/>
      <c r="N26" s="296">
        <v>117</v>
      </c>
      <c r="O26" s="297">
        <v>27381</v>
      </c>
      <c r="P26" s="300">
        <f t="shared" ref="P26:P27" si="7">IFERROR(ROUND(N26/O26,9),0)</f>
        <v>4.273036E-3</v>
      </c>
      <c r="Q26" s="305">
        <v>0</v>
      </c>
      <c r="R26" s="302"/>
      <c r="T26" s="278">
        <f t="shared" si="1"/>
        <v>1</v>
      </c>
      <c r="U26" s="278">
        <f t="shared" si="2"/>
        <v>1</v>
      </c>
    </row>
    <row r="27" spans="1:21" ht="155.25" customHeight="1" x14ac:dyDescent="0.25">
      <c r="A27" s="215">
        <v>13</v>
      </c>
      <c r="B27" s="105" t="s">
        <v>10</v>
      </c>
      <c r="C27" s="296">
        <v>293</v>
      </c>
      <c r="D27" s="297">
        <v>610</v>
      </c>
      <c r="E27" s="304">
        <f t="shared" si="3"/>
        <v>0.48032786900000002</v>
      </c>
      <c r="F27" s="297" t="s">
        <v>28</v>
      </c>
      <c r="G27" s="300">
        <f t="shared" si="6"/>
        <v>-15.9780453</v>
      </c>
      <c r="H27" s="297" t="s">
        <v>28</v>
      </c>
      <c r="I27" s="313">
        <v>2</v>
      </c>
      <c r="J27" s="306">
        <v>1</v>
      </c>
      <c r="K27" s="306">
        <v>0</v>
      </c>
      <c r="L27" s="297">
        <v>1</v>
      </c>
      <c r="M27" s="302"/>
      <c r="N27" s="296">
        <v>339</v>
      </c>
      <c r="O27" s="297">
        <v>593</v>
      </c>
      <c r="P27" s="300">
        <f t="shared" si="7"/>
        <v>0.57166947700000004</v>
      </c>
      <c r="Q27" s="305">
        <v>1</v>
      </c>
      <c r="R27" s="302"/>
      <c r="T27" s="278">
        <f t="shared" si="1"/>
        <v>1</v>
      </c>
      <c r="U27" s="278">
        <f t="shared" si="2"/>
        <v>1</v>
      </c>
    </row>
    <row r="28" spans="1:21" ht="148.5" customHeight="1" x14ac:dyDescent="0.25">
      <c r="A28" s="215">
        <v>14</v>
      </c>
      <c r="B28" s="99" t="s">
        <v>9</v>
      </c>
      <c r="C28" s="296">
        <v>381</v>
      </c>
      <c r="D28" s="297">
        <v>2237</v>
      </c>
      <c r="E28" s="304">
        <f>IFERROR(ROUND(C28/D28,9),0)</f>
        <v>0.17031738900000001</v>
      </c>
      <c r="F28" s="297" t="s">
        <v>28</v>
      </c>
      <c r="G28" s="300">
        <f t="shared" si="6"/>
        <v>14.648278099000001</v>
      </c>
      <c r="H28" s="297" t="s">
        <v>28</v>
      </c>
      <c r="I28" s="313">
        <v>0</v>
      </c>
      <c r="J28" s="297">
        <v>0</v>
      </c>
      <c r="K28" s="306">
        <v>0</v>
      </c>
      <c r="L28" s="297">
        <v>1</v>
      </c>
      <c r="M28" s="302"/>
      <c r="N28" s="314">
        <v>283</v>
      </c>
      <c r="O28" s="306">
        <v>1905</v>
      </c>
      <c r="P28" s="300">
        <f>IFERROR(ROUND(N28/O28,9),0)</f>
        <v>0.14855642999999999</v>
      </c>
      <c r="Q28" s="305">
        <v>0</v>
      </c>
      <c r="R28" s="302"/>
      <c r="T28" s="278">
        <f t="shared" si="1"/>
        <v>1</v>
      </c>
      <c r="U28" s="278" t="b">
        <f t="shared" si="2"/>
        <v>0</v>
      </c>
    </row>
    <row r="29" spans="1:21" ht="18.75" x14ac:dyDescent="0.25">
      <c r="A29" s="234"/>
      <c r="B29" s="107"/>
      <c r="C29" s="425" t="s">
        <v>57</v>
      </c>
      <c r="D29" s="425"/>
      <c r="E29" s="425"/>
      <c r="F29" s="425"/>
      <c r="G29" s="425"/>
      <c r="H29" s="425"/>
      <c r="I29" s="425"/>
      <c r="J29" s="425"/>
      <c r="K29" s="425"/>
      <c r="L29" s="425"/>
      <c r="M29" s="425"/>
      <c r="N29" s="425"/>
      <c r="O29" s="425"/>
      <c r="P29" s="425"/>
      <c r="Q29" s="425"/>
      <c r="R29" s="426"/>
      <c r="T29" s="278"/>
      <c r="U29" s="278"/>
    </row>
    <row r="30" spans="1:21" s="281" customFormat="1" ht="38.25" x14ac:dyDescent="0.25">
      <c r="A30" s="228">
        <v>15</v>
      </c>
      <c r="B30" s="100" t="s">
        <v>16</v>
      </c>
      <c r="C30" s="307"/>
      <c r="D30" s="308"/>
      <c r="E30" s="310">
        <f t="shared" ref="E30:E35" si="8">IFERROR(ROUND(C30/D30,9),0)</f>
        <v>0</v>
      </c>
      <c r="F30" s="308"/>
      <c r="G30" s="308" t="s">
        <v>28</v>
      </c>
      <c r="H30" s="308"/>
      <c r="I30" s="315"/>
      <c r="J30" s="308" t="s">
        <v>28</v>
      </c>
      <c r="K30" s="308"/>
      <c r="L30" s="308">
        <v>0</v>
      </c>
      <c r="M30" s="312"/>
      <c r="N30" s="308" t="s">
        <v>28</v>
      </c>
      <c r="O30" s="308" t="s">
        <v>28</v>
      </c>
      <c r="P30" s="308" t="s">
        <v>28</v>
      </c>
      <c r="Q30" s="311" t="s">
        <v>28</v>
      </c>
      <c r="R30" s="312"/>
      <c r="T30" s="278" t="b">
        <f>IF(L30&gt;0,1)</f>
        <v>0</v>
      </c>
      <c r="U30" s="278" t="b">
        <f>IF(I30&gt;0,1)</f>
        <v>0</v>
      </c>
    </row>
    <row r="31" spans="1:21" ht="140.25" x14ac:dyDescent="0.25">
      <c r="A31" s="215">
        <v>16</v>
      </c>
      <c r="B31" s="99" t="s">
        <v>17</v>
      </c>
      <c r="C31" s="296"/>
      <c r="D31" s="297"/>
      <c r="E31" s="304">
        <f t="shared" si="8"/>
        <v>0</v>
      </c>
      <c r="F31" s="297">
        <v>0</v>
      </c>
      <c r="G31" s="297" t="s">
        <v>28</v>
      </c>
      <c r="H31" s="300">
        <f t="shared" ref="H31:H35" si="9">IFERROR(ROUND(E31/F31,9),0)</f>
        <v>0</v>
      </c>
      <c r="I31" s="316"/>
      <c r="J31" s="297" t="s">
        <v>28</v>
      </c>
      <c r="K31" s="297"/>
      <c r="L31" s="297">
        <v>0</v>
      </c>
      <c r="M31" s="302"/>
      <c r="N31" s="297" t="s">
        <v>28</v>
      </c>
      <c r="O31" s="297" t="s">
        <v>28</v>
      </c>
      <c r="P31" s="297" t="s">
        <v>28</v>
      </c>
      <c r="Q31" s="313" t="s">
        <v>28</v>
      </c>
      <c r="R31" s="302"/>
      <c r="T31" s="278" t="b">
        <f t="shared" ref="T31:T32" si="10">IF(L31&gt;0,1)</f>
        <v>0</v>
      </c>
      <c r="U31" s="278" t="b">
        <f t="shared" ref="U31:U32" si="11">IF(I31&gt;0,1)</f>
        <v>0</v>
      </c>
    </row>
    <row r="32" spans="1:21" ht="140.25" x14ac:dyDescent="0.25">
      <c r="A32" s="215">
        <v>17</v>
      </c>
      <c r="B32" s="99" t="s">
        <v>18</v>
      </c>
      <c r="C32" s="296"/>
      <c r="D32" s="297"/>
      <c r="E32" s="304">
        <f t="shared" si="8"/>
        <v>0</v>
      </c>
      <c r="F32" s="297">
        <v>0</v>
      </c>
      <c r="G32" s="297" t="s">
        <v>28</v>
      </c>
      <c r="H32" s="300">
        <f t="shared" si="9"/>
        <v>0</v>
      </c>
      <c r="I32" s="316"/>
      <c r="J32" s="297" t="s">
        <v>28</v>
      </c>
      <c r="K32" s="297"/>
      <c r="L32" s="297">
        <v>0</v>
      </c>
      <c r="M32" s="302"/>
      <c r="N32" s="297" t="s">
        <v>28</v>
      </c>
      <c r="O32" s="297" t="s">
        <v>28</v>
      </c>
      <c r="P32" s="297" t="s">
        <v>28</v>
      </c>
      <c r="Q32" s="313" t="s">
        <v>28</v>
      </c>
      <c r="R32" s="302"/>
      <c r="T32" s="278" t="b">
        <f t="shared" si="10"/>
        <v>0</v>
      </c>
      <c r="U32" s="278" t="b">
        <f t="shared" si="11"/>
        <v>0</v>
      </c>
    </row>
    <row r="33" spans="1:22" ht="114.75" x14ac:dyDescent="0.25">
      <c r="A33" s="215">
        <v>18</v>
      </c>
      <c r="B33" s="99" t="s">
        <v>19</v>
      </c>
      <c r="C33" s="296"/>
      <c r="D33" s="297"/>
      <c r="E33" s="304">
        <f t="shared" si="8"/>
        <v>0</v>
      </c>
      <c r="F33" s="297">
        <v>0</v>
      </c>
      <c r="G33" s="297" t="s">
        <v>28</v>
      </c>
      <c r="H33" s="300">
        <f t="shared" si="9"/>
        <v>0</v>
      </c>
      <c r="I33" s="316"/>
      <c r="J33" s="297" t="s">
        <v>28</v>
      </c>
      <c r="K33" s="297"/>
      <c r="L33" s="297">
        <v>0</v>
      </c>
      <c r="M33" s="302"/>
      <c r="N33" s="297" t="s">
        <v>28</v>
      </c>
      <c r="O33" s="297" t="s">
        <v>28</v>
      </c>
      <c r="P33" s="297" t="s">
        <v>28</v>
      </c>
      <c r="Q33" s="313" t="s">
        <v>28</v>
      </c>
      <c r="R33" s="302"/>
      <c r="T33" s="278" t="b">
        <f>IF(L33&gt;0,1)</f>
        <v>0</v>
      </c>
      <c r="U33" s="278" t="b">
        <f>IF(I33&gt;0,1)</f>
        <v>0</v>
      </c>
    </row>
    <row r="34" spans="1:22" ht="114.75" x14ac:dyDescent="0.25">
      <c r="A34" s="215">
        <v>19</v>
      </c>
      <c r="B34" s="99" t="s">
        <v>20</v>
      </c>
      <c r="C34" s="296"/>
      <c r="D34" s="297"/>
      <c r="E34" s="304">
        <f t="shared" si="8"/>
        <v>0</v>
      </c>
      <c r="F34" s="297">
        <v>0</v>
      </c>
      <c r="G34" s="297" t="s">
        <v>28</v>
      </c>
      <c r="H34" s="300">
        <f t="shared" si="9"/>
        <v>0</v>
      </c>
      <c r="I34" s="316"/>
      <c r="J34" s="297" t="s">
        <v>28</v>
      </c>
      <c r="K34" s="297"/>
      <c r="L34" s="297">
        <v>0</v>
      </c>
      <c r="M34" s="302"/>
      <c r="N34" s="297" t="s">
        <v>28</v>
      </c>
      <c r="O34" s="297" t="s">
        <v>28</v>
      </c>
      <c r="P34" s="297" t="s">
        <v>28</v>
      </c>
      <c r="Q34" s="313" t="s">
        <v>28</v>
      </c>
      <c r="R34" s="302"/>
      <c r="T34" s="278" t="b">
        <f t="shared" ref="T34:T35" si="12">IF(L34&gt;0,1)</f>
        <v>0</v>
      </c>
      <c r="U34" s="278" t="b">
        <f t="shared" ref="U34:U35" si="13">IF(I34&gt;0,1)</f>
        <v>0</v>
      </c>
    </row>
    <row r="35" spans="1:22" ht="165.75" x14ac:dyDescent="0.25">
      <c r="A35" s="215">
        <v>20</v>
      </c>
      <c r="B35" s="99" t="s">
        <v>21</v>
      </c>
      <c r="C35" s="296"/>
      <c r="D35" s="297"/>
      <c r="E35" s="304">
        <f t="shared" si="8"/>
        <v>0</v>
      </c>
      <c r="F35" s="297">
        <v>0</v>
      </c>
      <c r="G35" s="297" t="s">
        <v>28</v>
      </c>
      <c r="H35" s="300">
        <f t="shared" si="9"/>
        <v>0</v>
      </c>
      <c r="I35" s="316"/>
      <c r="J35" s="297" t="s">
        <v>28</v>
      </c>
      <c r="K35" s="297"/>
      <c r="L35" s="297">
        <v>0</v>
      </c>
      <c r="M35" s="302"/>
      <c r="N35" s="297" t="s">
        <v>28</v>
      </c>
      <c r="O35" s="297" t="s">
        <v>28</v>
      </c>
      <c r="P35" s="297" t="s">
        <v>28</v>
      </c>
      <c r="Q35" s="313" t="s">
        <v>28</v>
      </c>
      <c r="R35" s="302"/>
      <c r="T35" s="278" t="b">
        <f t="shared" si="12"/>
        <v>0</v>
      </c>
      <c r="U35" s="278" t="b">
        <f t="shared" si="13"/>
        <v>0</v>
      </c>
    </row>
    <row r="36" spans="1:22" ht="20.25" x14ac:dyDescent="0.3">
      <c r="A36" s="234"/>
      <c r="B36" s="107"/>
      <c r="C36" s="425" t="s">
        <v>58</v>
      </c>
      <c r="D36" s="425"/>
      <c r="E36" s="425"/>
      <c r="F36" s="425"/>
      <c r="G36" s="425"/>
      <c r="H36" s="425"/>
      <c r="I36" s="425"/>
      <c r="J36" s="425"/>
      <c r="K36" s="425"/>
      <c r="L36" s="425"/>
      <c r="M36" s="425"/>
      <c r="N36" s="425"/>
      <c r="O36" s="425"/>
      <c r="P36" s="425"/>
      <c r="Q36" s="425"/>
      <c r="R36" s="426"/>
      <c r="T36" s="283">
        <f>SUM(T15:T35)</f>
        <v>13</v>
      </c>
      <c r="U36" s="283">
        <f>SUM(U15:U35)</f>
        <v>10</v>
      </c>
      <c r="V36" s="284">
        <f>U36/T36</f>
        <v>0.76923076923076927</v>
      </c>
    </row>
    <row r="37" spans="1:22" s="281" customFormat="1" ht="63.75" x14ac:dyDescent="0.25">
      <c r="A37" s="228">
        <v>21</v>
      </c>
      <c r="B37" s="106" t="s">
        <v>22</v>
      </c>
      <c r="C37" s="307"/>
      <c r="D37" s="308"/>
      <c r="E37" s="309">
        <f t="shared" ref="E37:E41" si="14">IFERROR(ROUND(C37/D37,9),0)</f>
        <v>0</v>
      </c>
      <c r="F37" s="308" t="s">
        <v>28</v>
      </c>
      <c r="G37" s="310">
        <f t="shared" ref="G37:G40" si="15">IFERROR(ROUND((E37/P37*100-100),9),0)</f>
        <v>0</v>
      </c>
      <c r="H37" s="308" t="s">
        <v>28</v>
      </c>
      <c r="I37" s="315"/>
      <c r="J37" s="308"/>
      <c r="K37" s="308"/>
      <c r="L37" s="308">
        <v>2</v>
      </c>
      <c r="M37" s="312"/>
      <c r="N37" s="307"/>
      <c r="O37" s="308"/>
      <c r="P37" s="310">
        <f>IFERROR(ROUND(N37/O37,9),0)</f>
        <v>0</v>
      </c>
      <c r="Q37" s="311">
        <v>0</v>
      </c>
      <c r="R37" s="312"/>
      <c r="T37" s="317">
        <v>0</v>
      </c>
      <c r="U37" s="278" t="b">
        <f t="shared" ref="U37:U41" si="16">IF(I37&gt;0,1)</f>
        <v>0</v>
      </c>
    </row>
    <row r="38" spans="1:22" s="281" customFormat="1" ht="101.25" customHeight="1" x14ac:dyDescent="0.25">
      <c r="A38" s="228">
        <v>22</v>
      </c>
      <c r="B38" s="106" t="s">
        <v>23</v>
      </c>
      <c r="C38" s="307"/>
      <c r="D38" s="308"/>
      <c r="E38" s="309">
        <f t="shared" si="14"/>
        <v>0</v>
      </c>
      <c r="F38" s="308">
        <v>0</v>
      </c>
      <c r="G38" s="308" t="s">
        <v>28</v>
      </c>
      <c r="H38" s="310">
        <f t="shared" ref="H38" si="17">IFERROR(ROUND(E38/F38,9),0)</f>
        <v>0</v>
      </c>
      <c r="I38" s="315"/>
      <c r="J38" s="308" t="s">
        <v>28</v>
      </c>
      <c r="K38" s="308"/>
      <c r="L38" s="308">
        <v>2</v>
      </c>
      <c r="M38" s="312"/>
      <c r="N38" s="308" t="s">
        <v>28</v>
      </c>
      <c r="O38" s="308" t="s">
        <v>28</v>
      </c>
      <c r="P38" s="308" t="s">
        <v>28</v>
      </c>
      <c r="Q38" s="311">
        <v>0</v>
      </c>
      <c r="R38" s="312"/>
      <c r="T38" s="317">
        <v>0</v>
      </c>
      <c r="U38" s="278" t="b">
        <f t="shared" si="16"/>
        <v>0</v>
      </c>
    </row>
    <row r="39" spans="1:22" ht="114.75" x14ac:dyDescent="0.35">
      <c r="A39" s="215">
        <v>23</v>
      </c>
      <c r="B39" s="105" t="s">
        <v>24</v>
      </c>
      <c r="C39" s="296">
        <v>0</v>
      </c>
      <c r="D39" s="306">
        <v>0</v>
      </c>
      <c r="E39" s="304">
        <f t="shared" si="14"/>
        <v>0</v>
      </c>
      <c r="F39" s="297" t="s">
        <v>28</v>
      </c>
      <c r="G39" s="300">
        <f t="shared" si="15"/>
        <v>0</v>
      </c>
      <c r="H39" s="297" t="s">
        <v>28</v>
      </c>
      <c r="I39" s="316">
        <v>0</v>
      </c>
      <c r="J39" s="297">
        <v>0</v>
      </c>
      <c r="K39" s="297">
        <v>0</v>
      </c>
      <c r="L39" s="306">
        <v>2</v>
      </c>
      <c r="M39" s="302"/>
      <c r="N39" s="296">
        <v>0</v>
      </c>
      <c r="O39" s="297">
        <v>1</v>
      </c>
      <c r="P39" s="300">
        <f>IFERROR(ROUND(N39/O39,9),0)</f>
        <v>0</v>
      </c>
      <c r="Q39" s="305">
        <v>0</v>
      </c>
      <c r="R39" s="302"/>
      <c r="T39" s="344">
        <v>0</v>
      </c>
      <c r="U39" s="278" t="b">
        <f t="shared" si="16"/>
        <v>0</v>
      </c>
    </row>
    <row r="40" spans="1:22" ht="123" customHeight="1" x14ac:dyDescent="0.25">
      <c r="A40" s="215">
        <v>24</v>
      </c>
      <c r="B40" s="105" t="s">
        <v>25</v>
      </c>
      <c r="C40" s="296">
        <v>0</v>
      </c>
      <c r="D40" s="297">
        <v>15</v>
      </c>
      <c r="E40" s="304">
        <f t="shared" si="14"/>
        <v>0</v>
      </c>
      <c r="F40" s="297" t="s">
        <v>28</v>
      </c>
      <c r="G40" s="300">
        <f t="shared" si="15"/>
        <v>0</v>
      </c>
      <c r="H40" s="297" t="s">
        <v>28</v>
      </c>
      <c r="I40" s="316">
        <v>0</v>
      </c>
      <c r="J40" s="297">
        <v>0</v>
      </c>
      <c r="K40" s="297">
        <v>0</v>
      </c>
      <c r="L40" s="306">
        <v>1</v>
      </c>
      <c r="M40" s="302"/>
      <c r="N40" s="296">
        <v>0</v>
      </c>
      <c r="O40" s="297">
        <v>11</v>
      </c>
      <c r="P40" s="300">
        <f>IFERROR(ROUND(N40/O40,9),0)</f>
        <v>0</v>
      </c>
      <c r="Q40" s="305">
        <v>0</v>
      </c>
      <c r="R40" s="302"/>
      <c r="T40" s="278">
        <f t="shared" ref="T40:T41" si="18">IF(L40&gt;0,1)</f>
        <v>1</v>
      </c>
      <c r="U40" s="278" t="b">
        <f t="shared" si="16"/>
        <v>0</v>
      </c>
    </row>
    <row r="41" spans="1:22" s="281" customFormat="1" ht="109.5" customHeight="1" x14ac:dyDescent="0.25">
      <c r="A41" s="228">
        <v>25</v>
      </c>
      <c r="B41" s="106" t="s">
        <v>26</v>
      </c>
      <c r="C41" s="307"/>
      <c r="D41" s="308"/>
      <c r="E41" s="309">
        <f t="shared" si="14"/>
        <v>0</v>
      </c>
      <c r="F41" s="308">
        <v>0</v>
      </c>
      <c r="G41" s="308" t="s">
        <v>28</v>
      </c>
      <c r="H41" s="310">
        <f t="shared" ref="H41" si="19">IFERROR(ROUND(E41/F41,9),0)</f>
        <v>0</v>
      </c>
      <c r="I41" s="315"/>
      <c r="J41" s="308" t="s">
        <v>28</v>
      </c>
      <c r="K41" s="308"/>
      <c r="L41" s="308">
        <v>0</v>
      </c>
      <c r="M41" s="312"/>
      <c r="N41" s="308" t="s">
        <v>28</v>
      </c>
      <c r="O41" s="308" t="s">
        <v>28</v>
      </c>
      <c r="P41" s="308" t="s">
        <v>28</v>
      </c>
      <c r="Q41" s="311">
        <v>0</v>
      </c>
      <c r="R41" s="312"/>
      <c r="T41" s="278" t="b">
        <f t="shared" si="18"/>
        <v>0</v>
      </c>
      <c r="U41" s="278" t="b">
        <f t="shared" si="16"/>
        <v>0</v>
      </c>
    </row>
    <row r="42" spans="1:22" ht="20.25" x14ac:dyDescent="0.3">
      <c r="A42" s="241"/>
      <c r="B42" s="108"/>
      <c r="C42" s="425" t="s">
        <v>59</v>
      </c>
      <c r="D42" s="425"/>
      <c r="E42" s="425"/>
      <c r="F42" s="425"/>
      <c r="G42" s="425"/>
      <c r="H42" s="425"/>
      <c r="I42" s="425"/>
      <c r="J42" s="425"/>
      <c r="K42" s="425"/>
      <c r="L42" s="425"/>
      <c r="M42" s="425"/>
      <c r="N42" s="425"/>
      <c r="O42" s="425"/>
      <c r="P42" s="425"/>
      <c r="Q42" s="425"/>
      <c r="R42" s="426"/>
      <c r="T42" s="283">
        <f>SUM(T37:T41)</f>
        <v>1</v>
      </c>
      <c r="U42" s="283">
        <f>SUM(U37:U41)</f>
        <v>0</v>
      </c>
      <c r="V42" s="284">
        <f>U42/T42</f>
        <v>0</v>
      </c>
    </row>
    <row r="43" spans="1:22" s="277" customFormat="1" ht="38.25" x14ac:dyDescent="0.25">
      <c r="A43" s="206">
        <v>26</v>
      </c>
      <c r="B43" s="104" t="s">
        <v>40</v>
      </c>
      <c r="C43" s="318">
        <v>242464</v>
      </c>
      <c r="D43" s="243">
        <f>47055+ROUND((15347+9771+28664*2.9)*4.2/12*5,0)</f>
        <v>236481</v>
      </c>
      <c r="E43" s="244">
        <f>IFERROR(ROUND(C43/D43,9),0)</f>
        <v>1.02530013</v>
      </c>
      <c r="F43" s="245">
        <v>1</v>
      </c>
      <c r="G43" s="245" t="s">
        <v>28</v>
      </c>
      <c r="H43" s="246">
        <f t="shared" ref="H43" si="20">IFERROR(ROUND(E43/F43,9),0)</f>
        <v>1.02530013</v>
      </c>
      <c r="I43" s="247">
        <v>2</v>
      </c>
      <c r="J43" s="245">
        <v>1</v>
      </c>
      <c r="K43" s="245">
        <v>0</v>
      </c>
      <c r="L43" s="245">
        <v>1</v>
      </c>
      <c r="M43" s="248"/>
      <c r="N43" s="249" t="s">
        <v>28</v>
      </c>
      <c r="O43" s="245" t="s">
        <v>28</v>
      </c>
      <c r="P43" s="246" t="s">
        <v>28</v>
      </c>
      <c r="Q43" s="247">
        <v>1</v>
      </c>
      <c r="R43" s="248"/>
    </row>
    <row r="44" spans="1:22" x14ac:dyDescent="0.25">
      <c r="A44" s="215"/>
      <c r="B44" s="109"/>
      <c r="C44" s="250"/>
      <c r="D44" s="215"/>
      <c r="E44" s="215"/>
      <c r="F44" s="215"/>
      <c r="G44" s="215"/>
      <c r="H44" s="215"/>
      <c r="I44" s="319"/>
      <c r="J44" s="215"/>
      <c r="K44" s="215"/>
      <c r="L44" s="215"/>
      <c r="M44" s="286"/>
      <c r="N44" s="250"/>
      <c r="O44" s="215"/>
      <c r="P44" s="215"/>
      <c r="Q44" s="285"/>
      <c r="R44" s="286"/>
    </row>
    <row r="45" spans="1:22" x14ac:dyDescent="0.25">
      <c r="A45" s="215"/>
      <c r="B45" s="109"/>
      <c r="C45" s="250"/>
      <c r="D45" s="215"/>
      <c r="E45" s="215"/>
      <c r="F45" s="215"/>
      <c r="G45" s="215"/>
      <c r="H45" s="215"/>
      <c r="I45" s="319"/>
      <c r="J45" s="215"/>
      <c r="K45" s="215"/>
      <c r="L45" s="215"/>
      <c r="M45" s="286"/>
      <c r="N45" s="250"/>
      <c r="O45" s="215"/>
      <c r="P45" s="215"/>
      <c r="Q45" s="285"/>
      <c r="R45" s="286"/>
    </row>
    <row r="46" spans="1:22" x14ac:dyDescent="0.25">
      <c r="A46" s="215"/>
      <c r="B46" s="109"/>
      <c r="C46" s="250"/>
      <c r="D46" s="215"/>
      <c r="E46" s="215"/>
      <c r="F46" s="215"/>
      <c r="G46" s="215"/>
      <c r="H46" s="215"/>
      <c r="I46" s="319"/>
      <c r="J46" s="215"/>
      <c r="K46" s="215"/>
      <c r="L46" s="215"/>
      <c r="M46" s="286"/>
      <c r="N46" s="250"/>
      <c r="O46" s="215"/>
      <c r="P46" s="215"/>
      <c r="Q46" s="285"/>
      <c r="R46" s="286"/>
    </row>
    <row r="47" spans="1:22" x14ac:dyDescent="0.25">
      <c r="A47" s="215"/>
      <c r="B47" s="109"/>
      <c r="C47" s="250"/>
      <c r="D47" s="215"/>
      <c r="E47" s="215"/>
      <c r="F47" s="215"/>
      <c r="G47" s="215"/>
      <c r="H47" s="215"/>
      <c r="I47" s="319"/>
      <c r="J47" s="215"/>
      <c r="K47" s="215"/>
      <c r="L47" s="215"/>
      <c r="M47" s="286"/>
      <c r="N47" s="250"/>
      <c r="O47" s="215"/>
      <c r="P47" s="215"/>
      <c r="Q47" s="285"/>
      <c r="R47" s="286"/>
    </row>
    <row r="48" spans="1:22" x14ac:dyDescent="0.25">
      <c r="A48" s="215"/>
      <c r="B48" s="109"/>
      <c r="C48" s="250"/>
      <c r="D48" s="215"/>
      <c r="E48" s="215"/>
      <c r="F48" s="215"/>
      <c r="G48" s="215"/>
      <c r="H48" s="215"/>
      <c r="I48" s="319"/>
      <c r="J48" s="215"/>
      <c r="K48" s="215"/>
      <c r="L48" s="215"/>
      <c r="M48" s="286"/>
      <c r="N48" s="250"/>
      <c r="O48" s="215"/>
      <c r="P48" s="215"/>
      <c r="Q48" s="285"/>
      <c r="R48" s="286"/>
    </row>
    <row r="49" spans="1:18" x14ac:dyDescent="0.25">
      <c r="A49" s="215"/>
      <c r="B49" s="109"/>
      <c r="C49" s="250"/>
      <c r="D49" s="215"/>
      <c r="E49" s="215"/>
      <c r="F49" s="215"/>
      <c r="G49" s="215"/>
      <c r="H49" s="215"/>
      <c r="I49" s="319"/>
      <c r="J49" s="215"/>
      <c r="K49" s="215"/>
      <c r="L49" s="215"/>
      <c r="M49" s="286"/>
      <c r="N49" s="250"/>
      <c r="O49" s="215"/>
      <c r="P49" s="215"/>
      <c r="Q49" s="285"/>
      <c r="R49" s="286"/>
    </row>
    <row r="50" spans="1:18" x14ac:dyDescent="0.25">
      <c r="A50" s="215"/>
      <c r="B50" s="109"/>
      <c r="C50" s="250"/>
      <c r="D50" s="215"/>
      <c r="E50" s="215"/>
      <c r="F50" s="215"/>
      <c r="G50" s="215"/>
      <c r="H50" s="215"/>
      <c r="I50" s="319"/>
      <c r="J50" s="215"/>
      <c r="K50" s="215"/>
      <c r="L50" s="215"/>
      <c r="M50" s="286"/>
      <c r="N50" s="250"/>
      <c r="O50" s="215"/>
      <c r="P50" s="215"/>
      <c r="Q50" s="285"/>
      <c r="R50" s="286"/>
    </row>
    <row r="51" spans="1:18" x14ac:dyDescent="0.25">
      <c r="A51" s="215"/>
      <c r="B51" s="109"/>
      <c r="C51" s="250"/>
      <c r="D51" s="215"/>
      <c r="E51" s="215"/>
      <c r="F51" s="215"/>
      <c r="G51" s="215"/>
      <c r="H51" s="215"/>
      <c r="I51" s="319"/>
      <c r="J51" s="215"/>
      <c r="K51" s="215"/>
      <c r="L51" s="215"/>
      <c r="M51" s="286"/>
      <c r="N51" s="250"/>
      <c r="O51" s="215"/>
      <c r="P51" s="215"/>
      <c r="Q51" s="285"/>
      <c r="R51" s="286"/>
    </row>
    <row r="52" spans="1:18" x14ac:dyDescent="0.25">
      <c r="A52" s="215"/>
      <c r="B52" s="109"/>
      <c r="C52" s="250"/>
      <c r="D52" s="215"/>
      <c r="E52" s="215"/>
      <c r="F52" s="215"/>
      <c r="G52" s="215"/>
      <c r="H52" s="215"/>
      <c r="I52" s="319"/>
      <c r="J52" s="215"/>
      <c r="K52" s="215"/>
      <c r="L52" s="215"/>
      <c r="M52" s="286"/>
      <c r="N52" s="250"/>
      <c r="O52" s="215"/>
      <c r="P52" s="215"/>
      <c r="Q52" s="285"/>
      <c r="R52" s="286"/>
    </row>
    <row r="53" spans="1:18" ht="51.75" customHeight="1" x14ac:dyDescent="0.25">
      <c r="A53" s="419"/>
      <c r="B53" s="419"/>
      <c r="C53" s="419"/>
      <c r="D53" s="419"/>
      <c r="E53" s="419"/>
      <c r="F53" s="419"/>
      <c r="G53" s="419"/>
      <c r="H53" s="419"/>
      <c r="I53" s="419"/>
      <c r="J53" s="419"/>
      <c r="K53" s="419"/>
      <c r="L53" s="419"/>
      <c r="M53" s="419"/>
      <c r="N53" s="419"/>
      <c r="O53" s="419"/>
      <c r="P53" s="419"/>
      <c r="Q53" s="419"/>
      <c r="R53" s="419"/>
    </row>
    <row r="54" spans="1:18" ht="19.5" customHeight="1" x14ac:dyDescent="0.25">
      <c r="A54" s="419"/>
      <c r="B54" s="420"/>
      <c r="C54" s="420"/>
      <c r="D54" s="420"/>
      <c r="E54" s="420"/>
      <c r="F54" s="420"/>
      <c r="G54" s="420"/>
      <c r="H54" s="420"/>
      <c r="I54" s="420"/>
      <c r="J54" s="420"/>
      <c r="K54" s="420"/>
      <c r="L54" s="420"/>
      <c r="M54" s="420"/>
      <c r="N54" s="420"/>
      <c r="O54" s="420"/>
      <c r="P54" s="420"/>
      <c r="Q54" s="287"/>
      <c r="R54" s="261"/>
    </row>
    <row r="55" spans="1:18" x14ac:dyDescent="0.25">
      <c r="A55" s="260"/>
      <c r="B55" s="110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</row>
    <row r="56" spans="1:18" x14ac:dyDescent="0.25">
      <c r="C56" s="347"/>
      <c r="D56" s="348"/>
      <c r="N56" s="348"/>
      <c r="O56" s="348"/>
    </row>
    <row r="57" spans="1:18" x14ac:dyDescent="0.25"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</row>
    <row r="58" spans="1:18" ht="20.25" x14ac:dyDescent="0.25">
      <c r="C58" s="320"/>
      <c r="D58" s="320"/>
      <c r="E58" s="321"/>
      <c r="F58" s="321"/>
      <c r="G58" s="321"/>
      <c r="H58" s="321"/>
      <c r="I58" s="322"/>
      <c r="J58" s="321"/>
      <c r="K58" s="321"/>
      <c r="L58" s="323"/>
      <c r="M58" s="321"/>
      <c r="N58" s="321"/>
      <c r="O58" s="321"/>
      <c r="P58" s="321"/>
      <c r="Q58" s="321"/>
      <c r="R58" s="321"/>
    </row>
    <row r="59" spans="1:18" ht="18.75" x14ac:dyDescent="0.3">
      <c r="I59" s="324"/>
      <c r="J59" s="288"/>
      <c r="K59" s="288"/>
      <c r="L59" s="288"/>
    </row>
    <row r="60" spans="1:18" ht="18.75" x14ac:dyDescent="0.3">
      <c r="I60" s="324"/>
      <c r="J60" s="288"/>
      <c r="K60" s="288"/>
      <c r="L60" s="289"/>
    </row>
    <row r="61" spans="1:18" ht="18.75" x14ac:dyDescent="0.3">
      <c r="I61" s="324"/>
      <c r="J61" s="288"/>
      <c r="K61" s="288"/>
      <c r="L61" s="290"/>
    </row>
    <row r="62" spans="1:18" ht="18.75" x14ac:dyDescent="0.3">
      <c r="I62" s="324"/>
      <c r="J62" s="288"/>
      <c r="K62" s="288"/>
      <c r="L62" s="288"/>
    </row>
  </sheetData>
  <autoFilter ref="A13:R55"/>
  <mergeCells count="28"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</sheetPr>
  <dimension ref="A1:F34"/>
  <sheetViews>
    <sheetView tabSelected="1" view="pageBreakPreview" topLeftCell="A29" zoomScaleNormal="100" zoomScaleSheetLayoutView="100" workbookViewId="0">
      <selection activeCell="H9" sqref="H9"/>
    </sheetView>
  </sheetViews>
  <sheetFormatPr defaultColWidth="9.140625" defaultRowHeight="16.5" x14ac:dyDescent="0.25"/>
  <cols>
    <col min="1" max="1" width="10.42578125" style="86" customWidth="1"/>
    <col min="2" max="2" width="30.28515625" style="86" customWidth="1"/>
    <col min="3" max="3" width="32.28515625" style="86" customWidth="1"/>
    <col min="4" max="4" width="27.85546875" style="86" customWidth="1"/>
    <col min="5" max="5" width="9.140625" style="86"/>
    <col min="6" max="6" width="15" style="86" customWidth="1"/>
    <col min="7" max="16384" width="9.140625" style="86"/>
  </cols>
  <sheetData>
    <row r="1" spans="1:4" x14ac:dyDescent="0.25">
      <c r="D1" s="87" t="s">
        <v>61</v>
      </c>
    </row>
    <row r="2" spans="1:4" x14ac:dyDescent="0.25">
      <c r="D2" s="97" t="s">
        <v>79</v>
      </c>
    </row>
    <row r="3" spans="1:4" x14ac:dyDescent="0.25">
      <c r="D3" s="97" t="str">
        <f>МОБ!$R$3</f>
        <v>№ 10-01 от 25.06.2024</v>
      </c>
    </row>
    <row r="4" spans="1:4" x14ac:dyDescent="0.25">
      <c r="D4" s="97"/>
    </row>
    <row r="5" spans="1:4" ht="39" customHeight="1" x14ac:dyDescent="0.25">
      <c r="A5" s="427" t="s">
        <v>62</v>
      </c>
      <c r="B5" s="427"/>
      <c r="C5" s="427"/>
      <c r="D5" s="427"/>
    </row>
    <row r="6" spans="1:4" ht="18" customHeight="1" x14ac:dyDescent="0.25">
      <c r="A6" s="428" t="s">
        <v>215</v>
      </c>
      <c r="B6" s="428"/>
      <c r="C6" s="428"/>
      <c r="D6" s="428"/>
    </row>
    <row r="7" spans="1:4" ht="18" customHeight="1" x14ac:dyDescent="0.25">
      <c r="A7" s="88"/>
      <c r="B7" s="88"/>
      <c r="C7" s="88"/>
      <c r="D7" s="88"/>
    </row>
    <row r="8" spans="1:4" ht="33" customHeight="1" x14ac:dyDescent="0.25">
      <c r="A8" s="429" t="s">
        <v>78</v>
      </c>
      <c r="B8" s="429"/>
      <c r="C8" s="429"/>
      <c r="D8" s="429"/>
    </row>
    <row r="10" spans="1:4" ht="52.5" customHeight="1" x14ac:dyDescent="0.25">
      <c r="A10" s="89" t="s">
        <v>63</v>
      </c>
      <c r="B10" s="89" t="s">
        <v>64</v>
      </c>
      <c r="C10" s="89" t="s">
        <v>65</v>
      </c>
      <c r="D10" s="89" t="s">
        <v>66</v>
      </c>
    </row>
    <row r="11" spans="1:4" ht="28.5" customHeight="1" x14ac:dyDescent="0.25">
      <c r="A11" s="430" t="s">
        <v>67</v>
      </c>
      <c r="B11" s="431" t="s">
        <v>74</v>
      </c>
      <c r="C11" s="90" t="s">
        <v>68</v>
      </c>
      <c r="D11" s="91">
        <f>МОБ!V36</f>
        <v>0.36842105263157893</v>
      </c>
    </row>
    <row r="12" spans="1:4" ht="15" customHeight="1" x14ac:dyDescent="0.25">
      <c r="A12" s="430"/>
      <c r="B12" s="431"/>
      <c r="C12" s="90"/>
      <c r="D12" s="91"/>
    </row>
    <row r="13" spans="1:4" ht="34.5" hidden="1" customHeight="1" x14ac:dyDescent="0.25">
      <c r="A13" s="430" t="s">
        <v>70</v>
      </c>
      <c r="B13" s="431" t="s">
        <v>75</v>
      </c>
      <c r="C13" s="116"/>
      <c r="D13" s="116"/>
    </row>
    <row r="14" spans="1:4" ht="32.25" customHeight="1" x14ac:dyDescent="0.25">
      <c r="A14" s="430"/>
      <c r="B14" s="431"/>
      <c r="C14" s="116"/>
      <c r="D14" s="116"/>
    </row>
    <row r="15" spans="1:4" ht="32.25" customHeight="1" x14ac:dyDescent="0.25">
      <c r="A15" s="430" t="s">
        <v>71</v>
      </c>
      <c r="B15" s="430" t="s">
        <v>76</v>
      </c>
      <c r="C15" s="90" t="s">
        <v>69</v>
      </c>
      <c r="D15" s="91">
        <f>'Городская поликлиника'!V36</f>
        <v>0.76923076923076927</v>
      </c>
    </row>
    <row r="16" spans="1:4" ht="47.25" customHeight="1" x14ac:dyDescent="0.25">
      <c r="A16" s="430"/>
      <c r="B16" s="430"/>
      <c r="C16" s="90" t="s">
        <v>84</v>
      </c>
      <c r="D16" s="91">
        <f>МОЦОМиД!V36</f>
        <v>1</v>
      </c>
    </row>
    <row r="18" spans="1:6" ht="32.25" customHeight="1" x14ac:dyDescent="0.25">
      <c r="A18" s="429" t="s">
        <v>73</v>
      </c>
      <c r="B18" s="429"/>
      <c r="C18" s="429"/>
      <c r="D18" s="429"/>
    </row>
    <row r="20" spans="1:6" ht="52.5" customHeight="1" x14ac:dyDescent="0.25">
      <c r="A20" s="114" t="s">
        <v>63</v>
      </c>
      <c r="B20" s="114" t="s">
        <v>64</v>
      </c>
      <c r="C20" s="114" t="s">
        <v>65</v>
      </c>
      <c r="D20" s="114" t="s">
        <v>66</v>
      </c>
      <c r="E20" s="115"/>
      <c r="F20" s="115"/>
    </row>
    <row r="21" spans="1:6" ht="33" x14ac:dyDescent="0.25">
      <c r="A21" s="430" t="s">
        <v>67</v>
      </c>
      <c r="B21" s="433" t="s">
        <v>74</v>
      </c>
      <c r="C21" s="90" t="s">
        <v>130</v>
      </c>
      <c r="D21" s="86">
        <v>0</v>
      </c>
      <c r="E21" s="115"/>
      <c r="F21" s="115"/>
    </row>
    <row r="22" spans="1:6" ht="42" customHeight="1" x14ac:dyDescent="0.25">
      <c r="A22" s="430"/>
      <c r="B22" s="434"/>
      <c r="C22" s="90" t="s">
        <v>68</v>
      </c>
      <c r="D22" s="91">
        <f>МОБ!$V$42</f>
        <v>0.2</v>
      </c>
      <c r="E22" s="115"/>
      <c r="F22" s="115"/>
    </row>
    <row r="23" spans="1:6" ht="36.75" customHeight="1" x14ac:dyDescent="0.25">
      <c r="A23" s="96" t="s">
        <v>70</v>
      </c>
      <c r="B23" s="92" t="s">
        <v>75</v>
      </c>
      <c r="C23" s="116"/>
      <c r="D23" s="116"/>
      <c r="E23" s="115"/>
      <c r="F23" s="115"/>
    </row>
    <row r="24" spans="1:6" ht="46.5" customHeight="1" x14ac:dyDescent="0.25">
      <c r="A24" s="96" t="s">
        <v>71</v>
      </c>
      <c r="B24" s="92" t="s">
        <v>76</v>
      </c>
      <c r="C24" s="90" t="s">
        <v>84</v>
      </c>
      <c r="D24" s="91">
        <f>МОЦОМиД!V42</f>
        <v>0.66666666666666663</v>
      </c>
      <c r="E24" s="115"/>
      <c r="F24" s="115"/>
    </row>
    <row r="26" spans="1:6" ht="36" customHeight="1" x14ac:dyDescent="0.25">
      <c r="A26" s="429" t="s">
        <v>107</v>
      </c>
      <c r="B26" s="429"/>
      <c r="C26" s="429"/>
      <c r="D26" s="429"/>
    </row>
    <row r="28" spans="1:6" ht="55.5" customHeight="1" x14ac:dyDescent="0.25">
      <c r="A28" s="89" t="s">
        <v>63</v>
      </c>
      <c r="B28" s="89" t="s">
        <v>64</v>
      </c>
      <c r="C28" s="89" t="s">
        <v>65</v>
      </c>
      <c r="D28" s="89" t="s">
        <v>66</v>
      </c>
    </row>
    <row r="29" spans="1:6" ht="30" customHeight="1" x14ac:dyDescent="0.25">
      <c r="A29" s="430" t="s">
        <v>67</v>
      </c>
      <c r="B29" s="433" t="s">
        <v>74</v>
      </c>
      <c r="C29" s="90" t="s">
        <v>68</v>
      </c>
      <c r="D29" s="91">
        <f>МОБ!I43</f>
        <v>0</v>
      </c>
    </row>
    <row r="30" spans="1:6" ht="23.25" customHeight="1" x14ac:dyDescent="0.25">
      <c r="A30" s="430"/>
      <c r="B30" s="434"/>
      <c r="C30" s="90"/>
      <c r="D30" s="91">
        <f>'[1]ПР_1_Городская пол-ка'!W87</f>
        <v>0</v>
      </c>
    </row>
    <row r="31" spans="1:6" ht="30" customHeight="1" x14ac:dyDescent="0.25">
      <c r="A31" s="96" t="s">
        <v>70</v>
      </c>
      <c r="B31" s="92" t="s">
        <v>75</v>
      </c>
      <c r="C31" s="90"/>
      <c r="D31" s="91"/>
    </row>
    <row r="32" spans="1:6" ht="33" x14ac:dyDescent="0.25">
      <c r="A32" s="96" t="s">
        <v>71</v>
      </c>
      <c r="B32" s="92" t="s">
        <v>76</v>
      </c>
      <c r="C32" s="90" t="s">
        <v>69</v>
      </c>
      <c r="D32" s="91">
        <v>1</v>
      </c>
    </row>
    <row r="33" spans="1:4" ht="10.5" customHeight="1" x14ac:dyDescent="0.25"/>
    <row r="34" spans="1:4" ht="66.75" customHeight="1" x14ac:dyDescent="0.3">
      <c r="A34" s="432" t="s">
        <v>77</v>
      </c>
      <c r="B34" s="432"/>
      <c r="C34" s="432"/>
      <c r="D34" s="432"/>
    </row>
  </sheetData>
  <mergeCells count="16">
    <mergeCell ref="B13:B14"/>
    <mergeCell ref="A13:A14"/>
    <mergeCell ref="A34:D34"/>
    <mergeCell ref="A18:D18"/>
    <mergeCell ref="A21:A22"/>
    <mergeCell ref="B21:B22"/>
    <mergeCell ref="A26:D26"/>
    <mergeCell ref="A29:A30"/>
    <mergeCell ref="B29:B30"/>
    <mergeCell ref="A15:A16"/>
    <mergeCell ref="B15:B16"/>
    <mergeCell ref="A5:D5"/>
    <mergeCell ref="A6:D6"/>
    <mergeCell ref="A8:D8"/>
    <mergeCell ref="A11:A12"/>
    <mergeCell ref="B11:B12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K20"/>
  <sheetViews>
    <sheetView view="pageBreakPreview" topLeftCell="A7" zoomScale="90" zoomScaleNormal="100" zoomScaleSheetLayoutView="90" workbookViewId="0">
      <selection activeCell="F17" sqref="F17"/>
    </sheetView>
  </sheetViews>
  <sheetFormatPr defaultRowHeight="15" x14ac:dyDescent="0.25"/>
  <cols>
    <col min="1" max="1" width="38.28515625" style="155" customWidth="1"/>
    <col min="2" max="2" width="11.28515625" style="155" customWidth="1"/>
    <col min="3" max="3" width="17.140625" style="155" customWidth="1"/>
    <col min="4" max="4" width="15.85546875" style="155" customWidth="1"/>
    <col min="5" max="5" width="16.5703125" style="155" customWidth="1"/>
    <col min="6" max="6" width="15.42578125" style="155" customWidth="1"/>
    <col min="7" max="7" width="12.5703125" style="155" customWidth="1"/>
    <col min="8" max="8" width="13.42578125" style="155" customWidth="1"/>
    <col min="9" max="10" width="14.85546875" style="155" customWidth="1"/>
    <col min="11" max="11" width="16.42578125" style="155" customWidth="1"/>
    <col min="12" max="16384" width="9.140625" style="155"/>
  </cols>
  <sheetData>
    <row r="1" spans="1:11" ht="16.5" x14ac:dyDescent="0.25">
      <c r="J1" s="87" t="s">
        <v>85</v>
      </c>
      <c r="K1" s="87" t="s">
        <v>85</v>
      </c>
    </row>
    <row r="2" spans="1:11" ht="16.5" x14ac:dyDescent="0.25">
      <c r="J2" s="97" t="s">
        <v>79</v>
      </c>
      <c r="K2" s="97" t="s">
        <v>79</v>
      </c>
    </row>
    <row r="3" spans="1:11" ht="16.5" x14ac:dyDescent="0.25">
      <c r="J3" s="97" t="str">
        <f>МОБ!$R$3</f>
        <v>№ 10-01 от 25.06.2024</v>
      </c>
      <c r="K3" s="97" t="str">
        <f>МОБ!$R$3</f>
        <v>№ 10-01 от 25.06.2024</v>
      </c>
    </row>
    <row r="5" spans="1:11" ht="18.75" x14ac:dyDescent="0.3">
      <c r="A5" s="436" t="s">
        <v>134</v>
      </c>
      <c r="B5" s="436"/>
      <c r="C5" s="436"/>
      <c r="D5" s="436"/>
      <c r="E5" s="436"/>
      <c r="F5" s="436"/>
      <c r="G5" s="436"/>
      <c r="H5" s="436"/>
      <c r="I5" s="436"/>
      <c r="J5" s="436"/>
    </row>
    <row r="6" spans="1:11" ht="18.75" x14ac:dyDescent="0.3">
      <c r="A6" s="436" t="s">
        <v>182</v>
      </c>
      <c r="B6" s="436"/>
      <c r="C6" s="436"/>
      <c r="D6" s="436"/>
      <c r="E6" s="436"/>
      <c r="F6" s="436"/>
      <c r="G6" s="436"/>
      <c r="H6" s="436"/>
      <c r="I6" s="436"/>
      <c r="J6" s="436"/>
    </row>
    <row r="8" spans="1:11" ht="110.25" customHeight="1" x14ac:dyDescent="0.25">
      <c r="A8" s="435" t="s">
        <v>180</v>
      </c>
      <c r="B8" s="435"/>
      <c r="C8" s="435"/>
      <c r="D8" s="435"/>
      <c r="E8" s="435"/>
      <c r="F8" s="435"/>
      <c r="G8" s="435"/>
      <c r="H8" s="435"/>
      <c r="I8" s="435"/>
      <c r="J8" s="435"/>
    </row>
    <row r="9" spans="1:11" ht="18" customHeight="1" x14ac:dyDescent="0.25">
      <c r="A9" s="155" t="s">
        <v>137</v>
      </c>
    </row>
    <row r="11" spans="1:11" ht="51" customHeight="1" x14ac:dyDescent="0.25">
      <c r="A11" s="446" t="s">
        <v>65</v>
      </c>
      <c r="B11" s="165"/>
      <c r="C11" s="443" t="s">
        <v>136</v>
      </c>
      <c r="D11" s="444"/>
      <c r="E11" s="444"/>
      <c r="F11" s="445"/>
      <c r="G11" s="443" t="s">
        <v>170</v>
      </c>
      <c r="H11" s="444"/>
      <c r="I11" s="444"/>
      <c r="J11" s="445"/>
      <c r="K11" s="452" t="s">
        <v>207</v>
      </c>
    </row>
    <row r="12" spans="1:11" ht="89.25" customHeight="1" x14ac:dyDescent="0.25">
      <c r="A12" s="447"/>
      <c r="B12" s="164"/>
      <c r="C12" s="158" t="s">
        <v>144</v>
      </c>
      <c r="D12" s="158" t="s">
        <v>216</v>
      </c>
      <c r="E12" s="158" t="s">
        <v>145</v>
      </c>
      <c r="F12" s="158" t="s">
        <v>139</v>
      </c>
      <c r="G12" s="158" t="s">
        <v>140</v>
      </c>
      <c r="H12" s="158" t="s">
        <v>141</v>
      </c>
      <c r="I12" s="158" t="s">
        <v>146</v>
      </c>
      <c r="J12" s="157" t="s">
        <v>139</v>
      </c>
      <c r="K12" s="452"/>
    </row>
    <row r="13" spans="1:11" s="186" customFormat="1" ht="20.25" customHeight="1" x14ac:dyDescent="0.25">
      <c r="A13" s="164">
        <v>1</v>
      </c>
      <c r="B13" s="164"/>
      <c r="C13" s="158">
        <v>2</v>
      </c>
      <c r="D13" s="158">
        <v>3</v>
      </c>
      <c r="E13" s="158">
        <v>4</v>
      </c>
      <c r="F13" s="158">
        <v>5</v>
      </c>
      <c r="G13" s="164">
        <v>6</v>
      </c>
      <c r="H13" s="158">
        <v>7</v>
      </c>
      <c r="I13" s="158">
        <v>8</v>
      </c>
      <c r="J13" s="158">
        <v>9</v>
      </c>
      <c r="K13" s="170">
        <v>10</v>
      </c>
    </row>
    <row r="14" spans="1:11" ht="29.25" customHeight="1" x14ac:dyDescent="0.25">
      <c r="A14" s="437" t="s">
        <v>204</v>
      </c>
      <c r="B14" s="158" t="s">
        <v>142</v>
      </c>
      <c r="C14" s="187"/>
      <c r="D14" s="187"/>
      <c r="E14" s="325">
        <f>IFERROR(D14/C14-1,0)</f>
        <v>0</v>
      </c>
      <c r="F14" s="439">
        <v>1</v>
      </c>
      <c r="G14" s="441"/>
      <c r="H14" s="441"/>
      <c r="I14" s="448">
        <f>IFERROR(H14/G14,0)</f>
        <v>0</v>
      </c>
      <c r="J14" s="439">
        <v>1</v>
      </c>
      <c r="K14" s="450">
        <f>J14*F14</f>
        <v>1</v>
      </c>
    </row>
    <row r="15" spans="1:11" ht="29.25" customHeight="1" x14ac:dyDescent="0.25">
      <c r="A15" s="438"/>
      <c r="B15" s="164" t="s">
        <v>143</v>
      </c>
      <c r="C15" s="187"/>
      <c r="D15" s="187"/>
      <c r="E15" s="325">
        <f>IFERROR(D15/C15-1,0)</f>
        <v>0</v>
      </c>
      <c r="F15" s="440"/>
      <c r="G15" s="442"/>
      <c r="H15" s="442"/>
      <c r="I15" s="449"/>
      <c r="J15" s="440"/>
      <c r="K15" s="451"/>
    </row>
    <row r="16" spans="1:11" ht="51" customHeight="1" x14ac:dyDescent="0.25">
      <c r="A16" s="190" t="s">
        <v>205</v>
      </c>
      <c r="B16" s="164" t="s">
        <v>143</v>
      </c>
      <c r="C16" s="187"/>
      <c r="D16" s="187"/>
      <c r="E16" s="325">
        <f t="shared" ref="E16:E17" si="0">IFERROR(D16/C16-1,0)</f>
        <v>0</v>
      </c>
      <c r="F16" s="189">
        <v>1</v>
      </c>
      <c r="G16" s="187"/>
      <c r="H16" s="187"/>
      <c r="I16" s="188">
        <f>IFERROR(H16/G16,0)</f>
        <v>0</v>
      </c>
      <c r="J16" s="189">
        <v>1</v>
      </c>
      <c r="K16" s="329">
        <f>J16*F16</f>
        <v>1</v>
      </c>
    </row>
    <row r="17" spans="1:11" ht="30" customHeight="1" x14ac:dyDescent="0.25">
      <c r="A17" s="157" t="s">
        <v>206</v>
      </c>
      <c r="B17" s="158" t="s">
        <v>142</v>
      </c>
      <c r="C17" s="187"/>
      <c r="D17" s="187"/>
      <c r="E17" s="325">
        <f t="shared" si="0"/>
        <v>0</v>
      </c>
      <c r="F17" s="189">
        <v>1</v>
      </c>
      <c r="G17" s="187"/>
      <c r="H17" s="187"/>
      <c r="I17" s="188">
        <f>IFERROR(H17/G17,0)</f>
        <v>0</v>
      </c>
      <c r="J17" s="189">
        <v>1</v>
      </c>
      <c r="K17" s="330">
        <f>J17*F17</f>
        <v>1</v>
      </c>
    </row>
    <row r="18" spans="1:11" ht="51.75" customHeight="1" x14ac:dyDescent="0.25">
      <c r="A18" s="453" t="s">
        <v>138</v>
      </c>
      <c r="B18" s="453"/>
      <c r="C18" s="453"/>
      <c r="D18" s="453"/>
      <c r="E18" s="453"/>
      <c r="F18" s="453"/>
      <c r="G18" s="453"/>
      <c r="H18" s="453"/>
      <c r="I18" s="453"/>
      <c r="J18" s="453"/>
      <c r="K18" s="453"/>
    </row>
    <row r="19" spans="1:11" ht="40.5" customHeight="1" x14ac:dyDescent="0.25">
      <c r="A19" s="454" t="s">
        <v>135</v>
      </c>
      <c r="B19" s="454"/>
      <c r="C19" s="454"/>
      <c r="D19" s="454"/>
      <c r="E19" s="454"/>
      <c r="F19" s="454"/>
      <c r="G19" s="454"/>
      <c r="H19" s="454"/>
      <c r="I19" s="454"/>
      <c r="J19" s="454"/>
      <c r="K19" s="454"/>
    </row>
    <row r="20" spans="1:11" ht="35.25" customHeight="1" x14ac:dyDescent="0.25">
      <c r="A20" s="455" t="s">
        <v>210</v>
      </c>
      <c r="B20" s="455"/>
      <c r="C20" s="455"/>
      <c r="D20" s="455"/>
      <c r="E20" s="455"/>
      <c r="F20" s="455"/>
      <c r="G20" s="455"/>
      <c r="H20" s="455"/>
      <c r="I20" s="455"/>
      <c r="J20" s="455"/>
      <c r="K20" s="455"/>
    </row>
  </sheetData>
  <mergeCells count="17">
    <mergeCell ref="K14:K15"/>
    <mergeCell ref="K11:K12"/>
    <mergeCell ref="A18:K18"/>
    <mergeCell ref="A19:K19"/>
    <mergeCell ref="A20:K20"/>
    <mergeCell ref="G11:J11"/>
    <mergeCell ref="A8:J8"/>
    <mergeCell ref="A5:J5"/>
    <mergeCell ref="A6:J6"/>
    <mergeCell ref="A14:A15"/>
    <mergeCell ref="F14:F15"/>
    <mergeCell ref="G14:G15"/>
    <mergeCell ref="H14:H15"/>
    <mergeCell ref="C11:F11"/>
    <mergeCell ref="A11:A12"/>
    <mergeCell ref="I14:I15"/>
    <mergeCell ref="J14:J15"/>
  </mergeCells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U135"/>
  <sheetViews>
    <sheetView view="pageBreakPreview" topLeftCell="A90" zoomScale="80" zoomScaleNormal="100" zoomScaleSheetLayoutView="80" workbookViewId="0">
      <selection activeCell="I31" sqref="I31"/>
    </sheetView>
  </sheetViews>
  <sheetFormatPr defaultRowHeight="15.75" x14ac:dyDescent="0.25"/>
  <cols>
    <col min="1" max="1" width="19.5703125" style="117" customWidth="1"/>
    <col min="2" max="2" width="22" style="117" customWidth="1"/>
    <col min="3" max="3" width="23.7109375" style="117" customWidth="1"/>
    <col min="4" max="4" width="25" style="117" customWidth="1"/>
    <col min="5" max="5" width="21.28515625" style="117" customWidth="1"/>
    <col min="6" max="6" width="9.28515625" style="117" customWidth="1"/>
    <col min="7" max="7" width="15.140625" style="117" bestFit="1" customWidth="1"/>
    <col min="8" max="11" width="15" style="117" customWidth="1"/>
    <col min="12" max="12" width="9.28515625" style="117" bestFit="1" customWidth="1"/>
    <col min="13" max="13" width="9.28515625" style="117" customWidth="1"/>
    <col min="14" max="14" width="9.28515625" style="117" bestFit="1" customWidth="1"/>
    <col min="15" max="17" width="9.28515625" style="117" customWidth="1"/>
    <col min="18" max="18" width="9.5703125" style="117" bestFit="1" customWidth="1"/>
    <col min="19" max="19" width="9.5703125" style="117" customWidth="1"/>
    <col min="20" max="20" width="13.5703125" style="117" customWidth="1"/>
    <col min="21" max="16384" width="9.140625" style="117"/>
  </cols>
  <sheetData>
    <row r="1" spans="1:11" ht="16.5" x14ac:dyDescent="0.25">
      <c r="E1" s="87"/>
      <c r="F1" s="87" t="s">
        <v>171</v>
      </c>
    </row>
    <row r="2" spans="1:11" ht="16.5" x14ac:dyDescent="0.25">
      <c r="E2" s="97"/>
      <c r="F2" s="97" t="s">
        <v>79</v>
      </c>
    </row>
    <row r="3" spans="1:11" ht="16.5" x14ac:dyDescent="0.25">
      <c r="E3" s="97"/>
      <c r="F3" s="97" t="str">
        <f>МОБ!$R$3</f>
        <v>№ 10-01 от 25.06.2024</v>
      </c>
    </row>
    <row r="4" spans="1:11" x14ac:dyDescent="0.25">
      <c r="E4" s="175"/>
      <c r="F4" s="175"/>
    </row>
    <row r="5" spans="1:11" x14ac:dyDescent="0.25">
      <c r="E5" s="175"/>
      <c r="F5" s="175"/>
    </row>
    <row r="6" spans="1:11" ht="22.5" x14ac:dyDescent="0.3">
      <c r="A6" s="456" t="s">
        <v>181</v>
      </c>
      <c r="B6" s="456"/>
      <c r="C6" s="456"/>
      <c r="D6" s="456"/>
      <c r="E6" s="456"/>
      <c r="F6" s="456"/>
    </row>
    <row r="7" spans="1:11" ht="48.75" customHeight="1" x14ac:dyDescent="0.25">
      <c r="A7" s="457" t="s">
        <v>183</v>
      </c>
      <c r="B7" s="457"/>
      <c r="C7" s="457"/>
      <c r="D7" s="457"/>
      <c r="E7" s="457"/>
      <c r="F7" s="457"/>
    </row>
    <row r="8" spans="1:11" ht="28.5" customHeight="1" x14ac:dyDescent="0.3">
      <c r="A8" s="456" t="s">
        <v>217</v>
      </c>
      <c r="B8" s="456"/>
      <c r="C8" s="456"/>
      <c r="D8" s="456"/>
      <c r="E8" s="456"/>
      <c r="F8" s="456"/>
    </row>
    <row r="10" spans="1:11" ht="45.75" customHeight="1" x14ac:dyDescent="0.25">
      <c r="A10" s="461" t="s">
        <v>122</v>
      </c>
      <c r="B10" s="461"/>
      <c r="C10" s="461"/>
      <c r="D10" s="461"/>
      <c r="E10" s="461"/>
      <c r="F10" s="461"/>
    </row>
    <row r="12" spans="1:11" ht="57" customHeight="1" x14ac:dyDescent="0.3">
      <c r="A12" s="462" t="s">
        <v>148</v>
      </c>
      <c r="B12" s="462"/>
      <c r="C12" s="462"/>
      <c r="D12" s="462"/>
      <c r="E12" s="141">
        <v>6604076.1100000003</v>
      </c>
      <c r="F12" s="142" t="s">
        <v>89</v>
      </c>
      <c r="G12" s="122">
        <f>E12-E17</f>
        <v>0</v>
      </c>
    </row>
    <row r="14" spans="1:11" ht="44.25" customHeight="1" x14ac:dyDescent="0.3">
      <c r="A14" s="118" t="s">
        <v>123</v>
      </c>
      <c r="B14" s="458" t="s">
        <v>87</v>
      </c>
      <c r="C14" s="458"/>
      <c r="D14" s="458"/>
      <c r="E14" s="458"/>
      <c r="F14" s="458"/>
    </row>
    <row r="15" spans="1:11" ht="41.25" customHeight="1" x14ac:dyDescent="0.25">
      <c r="A15" s="459" t="s">
        <v>88</v>
      </c>
      <c r="B15" s="460"/>
      <c r="C15" s="460"/>
      <c r="D15" s="460"/>
      <c r="E15" s="460"/>
      <c r="F15" s="460"/>
    </row>
    <row r="16" spans="1:11" ht="26.25" customHeight="1" x14ac:dyDescent="0.25">
      <c r="A16" s="119"/>
      <c r="B16" s="120"/>
      <c r="C16" s="121"/>
      <c r="D16" s="121"/>
      <c r="E16" s="121"/>
      <c r="F16" s="121"/>
      <c r="H16" s="122"/>
      <c r="I16" s="122"/>
      <c r="J16" s="122"/>
      <c r="K16" s="122"/>
    </row>
    <row r="17" spans="1:21" ht="45.75" customHeight="1" x14ac:dyDescent="0.3">
      <c r="A17" s="120"/>
      <c r="B17" s="463" t="s">
        <v>110</v>
      </c>
      <c r="C17" s="463"/>
      <c r="D17" s="463"/>
      <c r="E17" s="123">
        <f>E12</f>
        <v>6604076.1100000003</v>
      </c>
      <c r="F17" s="117" t="s">
        <v>89</v>
      </c>
      <c r="G17" s="161">
        <f>E30+E52+E74-(E17*70%)</f>
        <v>3.0000004917383194E-3</v>
      </c>
      <c r="H17" s="122"/>
      <c r="I17" s="122"/>
      <c r="J17" s="122"/>
      <c r="K17" s="122"/>
    </row>
    <row r="18" spans="1:21" ht="18.75" x14ac:dyDescent="0.3">
      <c r="E18" s="124"/>
      <c r="G18" s="162"/>
      <c r="H18" s="122"/>
      <c r="I18" s="122"/>
      <c r="J18" s="122"/>
      <c r="K18" s="122"/>
    </row>
    <row r="19" spans="1:21" ht="31.5" customHeight="1" x14ac:dyDescent="0.3">
      <c r="A19" s="120"/>
      <c r="B19" s="463" t="s">
        <v>90</v>
      </c>
      <c r="C19" s="463"/>
      <c r="D19" s="463"/>
      <c r="E19" s="143">
        <f>ROUND(U19,4)</f>
        <v>131855.1667</v>
      </c>
      <c r="F19" s="117" t="s">
        <v>91</v>
      </c>
      <c r="G19" s="163">
        <f>E28+E50+E72-E19</f>
        <v>0</v>
      </c>
      <c r="H19" s="180">
        <f>H28+H50+H72</f>
        <v>132977</v>
      </c>
      <c r="I19" s="180">
        <f t="shared" ref="I19:S19" si="0">I28+I50+I72</f>
        <v>132977</v>
      </c>
      <c r="J19" s="180">
        <f t="shared" si="0"/>
        <v>132977</v>
      </c>
      <c r="K19" s="180">
        <f t="shared" si="0"/>
        <v>132977</v>
      </c>
      <c r="L19" s="180">
        <f t="shared" si="0"/>
        <v>131656</v>
      </c>
      <c r="M19" s="180">
        <f t="shared" si="0"/>
        <v>131656</v>
      </c>
      <c r="N19" s="180">
        <f t="shared" si="0"/>
        <v>131319</v>
      </c>
      <c r="O19" s="180">
        <f t="shared" si="0"/>
        <v>131319</v>
      </c>
      <c r="P19" s="180">
        <f t="shared" si="0"/>
        <v>131319</v>
      </c>
      <c r="Q19" s="180">
        <f t="shared" si="0"/>
        <v>131319</v>
      </c>
      <c r="R19" s="180">
        <f t="shared" si="0"/>
        <v>130883</v>
      </c>
      <c r="S19" s="180">
        <f t="shared" si="0"/>
        <v>130883</v>
      </c>
      <c r="T19" s="177">
        <f>SUM(H19:S19)</f>
        <v>1582262</v>
      </c>
      <c r="U19" s="177">
        <f>T19/12</f>
        <v>131855.16666666666</v>
      </c>
    </row>
    <row r="20" spans="1:21" ht="44.25" customHeight="1" x14ac:dyDescent="0.3">
      <c r="E20" s="124"/>
      <c r="H20" s="117" t="s">
        <v>111</v>
      </c>
      <c r="I20" s="117" t="s">
        <v>172</v>
      </c>
      <c r="J20" s="117" t="s">
        <v>173</v>
      </c>
      <c r="K20" s="117" t="s">
        <v>174</v>
      </c>
      <c r="L20" s="117" t="s">
        <v>114</v>
      </c>
      <c r="M20" s="117" t="s">
        <v>115</v>
      </c>
      <c r="N20" s="117" t="s">
        <v>116</v>
      </c>
      <c r="O20" s="117" t="s">
        <v>117</v>
      </c>
      <c r="P20" s="117" t="s">
        <v>175</v>
      </c>
      <c r="Q20" s="117" t="s">
        <v>176</v>
      </c>
      <c r="R20" s="117" t="s">
        <v>118</v>
      </c>
      <c r="S20" s="117" t="s">
        <v>177</v>
      </c>
    </row>
    <row r="21" spans="1:21" ht="64.5" customHeight="1" x14ac:dyDescent="0.3">
      <c r="B21" s="463" t="s">
        <v>209</v>
      </c>
      <c r="C21" s="463"/>
      <c r="D21" s="463"/>
      <c r="E21" s="167">
        <f>IFERROR((G21)/E19,0)</f>
        <v>35.060084429744229</v>
      </c>
      <c r="F21" s="117" t="s">
        <v>89</v>
      </c>
      <c r="G21" s="331">
        <f>E17*0.7</f>
        <v>4622853.2769999998</v>
      </c>
      <c r="H21" s="117">
        <v>132977</v>
      </c>
      <c r="I21" s="117">
        <v>132977</v>
      </c>
      <c r="J21" s="117">
        <v>132977</v>
      </c>
      <c r="K21" s="117">
        <v>132977</v>
      </c>
      <c r="L21" s="117">
        <v>131656</v>
      </c>
      <c r="M21" s="117">
        <v>131656</v>
      </c>
      <c r="N21" s="117">
        <v>131319</v>
      </c>
      <c r="O21" s="117">
        <v>131319</v>
      </c>
      <c r="P21" s="117">
        <v>131319</v>
      </c>
      <c r="Q21" s="117">
        <v>131319</v>
      </c>
      <c r="R21" s="117">
        <v>130883</v>
      </c>
      <c r="S21" s="117">
        <v>130883</v>
      </c>
      <c r="T21" s="117">
        <v>1582262</v>
      </c>
      <c r="U21" s="117">
        <v>131855.16666666666</v>
      </c>
    </row>
    <row r="22" spans="1:21" ht="64.5" customHeight="1" x14ac:dyDescent="0.3">
      <c r="B22" s="463" t="s">
        <v>208</v>
      </c>
      <c r="C22" s="463"/>
      <c r="D22" s="463"/>
      <c r="E22" s="167">
        <f>IFERROR((0.7*E17)/U21,0)</f>
        <v>35.060084438607511</v>
      </c>
      <c r="F22" s="117" t="s">
        <v>89</v>
      </c>
    </row>
    <row r="23" spans="1:21" ht="30.75" customHeight="1" x14ac:dyDescent="0.25"/>
    <row r="24" spans="1:21" ht="54" customHeight="1" x14ac:dyDescent="0.3">
      <c r="A24" s="464" t="s">
        <v>119</v>
      </c>
      <c r="B24" s="465"/>
      <c r="C24" s="465"/>
      <c r="D24" s="465"/>
      <c r="E24" s="465"/>
      <c r="F24" s="465"/>
    </row>
    <row r="26" spans="1:21" ht="27" customHeight="1" x14ac:dyDescent="0.25">
      <c r="B26" s="120"/>
    </row>
    <row r="27" spans="1:21" x14ac:dyDescent="0.25">
      <c r="A27" s="117" t="s">
        <v>92</v>
      </c>
    </row>
    <row r="28" spans="1:21" ht="28.5" customHeight="1" x14ac:dyDescent="0.3">
      <c r="A28" s="120"/>
      <c r="B28" s="463" t="s">
        <v>109</v>
      </c>
      <c r="C28" s="463"/>
      <c r="D28" s="463"/>
      <c r="E28" s="125">
        <f>ROUND(U28,4)</f>
        <v>40559.666700000002</v>
      </c>
      <c r="F28" s="117" t="s">
        <v>91</v>
      </c>
      <c r="G28" s="153">
        <f>E28-E36-E42</f>
        <v>0</v>
      </c>
      <c r="H28" s="179">
        <f>H36+H42</f>
        <v>41078</v>
      </c>
      <c r="I28" s="179">
        <f t="shared" ref="I28:S28" si="1">I36+I42</f>
        <v>41078</v>
      </c>
      <c r="J28" s="179">
        <f t="shared" si="1"/>
        <v>41078</v>
      </c>
      <c r="K28" s="179">
        <f t="shared" si="1"/>
        <v>41078</v>
      </c>
      <c r="L28" s="179">
        <f t="shared" si="1"/>
        <v>40421</v>
      </c>
      <c r="M28" s="179">
        <f t="shared" si="1"/>
        <v>40421</v>
      </c>
      <c r="N28" s="179">
        <f t="shared" si="1"/>
        <v>40339</v>
      </c>
      <c r="O28" s="179">
        <f t="shared" si="1"/>
        <v>40339</v>
      </c>
      <c r="P28" s="179">
        <f t="shared" si="1"/>
        <v>40339</v>
      </c>
      <c r="Q28" s="179">
        <f t="shared" si="1"/>
        <v>40339</v>
      </c>
      <c r="R28" s="179">
        <f t="shared" si="1"/>
        <v>40103</v>
      </c>
      <c r="S28" s="179">
        <f t="shared" si="1"/>
        <v>40103</v>
      </c>
      <c r="T28" s="176">
        <f>SUM(H28:S28)</f>
        <v>486716</v>
      </c>
      <c r="U28" s="117">
        <f>T28/12</f>
        <v>40559.666666666664</v>
      </c>
    </row>
    <row r="29" spans="1:21" ht="18.75" x14ac:dyDescent="0.3">
      <c r="E29" s="125"/>
      <c r="H29" s="121" t="s">
        <v>111</v>
      </c>
      <c r="I29" s="121" t="s">
        <v>172</v>
      </c>
      <c r="J29" s="121" t="s">
        <v>173</v>
      </c>
      <c r="K29" s="121" t="s">
        <v>174</v>
      </c>
      <c r="L29" s="121" t="s">
        <v>114</v>
      </c>
      <c r="M29" s="121" t="s">
        <v>115</v>
      </c>
      <c r="N29" s="121" t="s">
        <v>116</v>
      </c>
      <c r="O29" s="121" t="s">
        <v>117</v>
      </c>
      <c r="P29" s="121" t="s">
        <v>175</v>
      </c>
      <c r="Q29" s="121" t="s">
        <v>176</v>
      </c>
      <c r="R29" s="121" t="s">
        <v>118</v>
      </c>
      <c r="S29" s="121" t="s">
        <v>177</v>
      </c>
    </row>
    <row r="30" spans="1:21" ht="29.25" customHeight="1" x14ac:dyDescent="0.3">
      <c r="A30" s="120"/>
      <c r="B30" s="463" t="s">
        <v>155</v>
      </c>
      <c r="C30" s="463"/>
      <c r="D30" s="463"/>
      <c r="E30" s="146">
        <f>IFERROR(ROUND($E$31*E28,2),0)</f>
        <v>1422025.34</v>
      </c>
      <c r="F30" s="117" t="s">
        <v>89</v>
      </c>
      <c r="G30" s="144">
        <f>E30-E38-E44</f>
        <v>0</v>
      </c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1:21" ht="61.5" customHeight="1" x14ac:dyDescent="0.3">
      <c r="A31" s="120"/>
      <c r="B31" s="463" t="s">
        <v>209</v>
      </c>
      <c r="C31" s="463"/>
      <c r="D31" s="463"/>
      <c r="E31" s="332">
        <f>$E$21*'Прил_3_Доп. критерии'!$K$14</f>
        <v>35.060084429744229</v>
      </c>
      <c r="F31" s="117" t="s">
        <v>89</v>
      </c>
      <c r="G31" s="144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1:21" ht="15.75" customHeight="1" x14ac:dyDescent="0.25">
      <c r="A32" s="127" t="s">
        <v>93</v>
      </c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1" ht="14.25" customHeight="1" x14ac:dyDescent="0.25">
      <c r="A33" s="128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</row>
    <row r="34" spans="1:21" s="131" customFormat="1" ht="24" customHeight="1" x14ac:dyDescent="0.35">
      <c r="A34" s="129" t="s">
        <v>94</v>
      </c>
      <c r="B34" s="130"/>
      <c r="C34" s="130"/>
      <c r="D34" s="130"/>
      <c r="E34" s="130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</row>
    <row r="35" spans="1:21" ht="12.75" customHeight="1" x14ac:dyDescent="0.25"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</row>
    <row r="36" spans="1:21" ht="47.25" customHeight="1" x14ac:dyDescent="0.3">
      <c r="A36" s="133" t="s">
        <v>95</v>
      </c>
      <c r="B36" s="463" t="s">
        <v>166</v>
      </c>
      <c r="C36" s="463"/>
      <c r="D36" s="463"/>
      <c r="E36" s="134">
        <f>ROUND(U36,4)</f>
        <v>36394.166700000002</v>
      </c>
      <c r="F36" s="117" t="s">
        <v>91</v>
      </c>
      <c r="H36" s="126">
        <v>36868</v>
      </c>
      <c r="I36" s="126">
        <v>36868</v>
      </c>
      <c r="J36" s="126">
        <v>36868</v>
      </c>
      <c r="K36" s="126">
        <v>36868</v>
      </c>
      <c r="L36" s="126">
        <v>36274</v>
      </c>
      <c r="M36" s="126">
        <v>36274</v>
      </c>
      <c r="N36" s="126">
        <v>36187</v>
      </c>
      <c r="O36" s="126">
        <v>36187</v>
      </c>
      <c r="P36" s="126">
        <v>36187</v>
      </c>
      <c r="Q36" s="126">
        <v>36187</v>
      </c>
      <c r="R36" s="126">
        <v>35981</v>
      </c>
      <c r="S36" s="126">
        <v>35981</v>
      </c>
      <c r="T36" s="176">
        <f>SUM(H36:S36)</f>
        <v>436730</v>
      </c>
      <c r="U36" s="117">
        <f>T36/12</f>
        <v>36394.166666666664</v>
      </c>
    </row>
    <row r="37" spans="1:21" ht="18.75" x14ac:dyDescent="0.3">
      <c r="E37" s="125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</row>
    <row r="38" spans="1:21" ht="45.75" customHeight="1" x14ac:dyDescent="0.3">
      <c r="A38" s="135" t="s">
        <v>96</v>
      </c>
      <c r="B38" s="463" t="s">
        <v>97</v>
      </c>
      <c r="C38" s="463"/>
      <c r="D38" s="463"/>
      <c r="E38" s="146">
        <f>IFERROR(ROUND($E$31*E36,2),0)</f>
        <v>1275982.56</v>
      </c>
      <c r="F38" s="117" t="s">
        <v>89</v>
      </c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</row>
    <row r="39" spans="1:21" x14ac:dyDescent="0.25"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</row>
    <row r="40" spans="1:21" s="131" customFormat="1" ht="25.5" customHeight="1" x14ac:dyDescent="0.35">
      <c r="A40" s="129" t="s">
        <v>128</v>
      </c>
      <c r="B40" s="130"/>
      <c r="C40" s="130"/>
      <c r="D40" s="130"/>
      <c r="E40" s="130"/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</row>
    <row r="41" spans="1:21" ht="9" customHeight="1" x14ac:dyDescent="0.25"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</row>
    <row r="42" spans="1:21" ht="61.5" customHeight="1" x14ac:dyDescent="0.3">
      <c r="A42" s="133" t="s">
        <v>95</v>
      </c>
      <c r="B42" s="463" t="s">
        <v>164</v>
      </c>
      <c r="C42" s="463"/>
      <c r="D42" s="463"/>
      <c r="E42" s="154">
        <f>ROUND(U42,4)</f>
        <v>4165.5</v>
      </c>
      <c r="F42" s="117" t="s">
        <v>91</v>
      </c>
      <c r="H42" s="126">
        <v>4210</v>
      </c>
      <c r="I42" s="126">
        <v>4210</v>
      </c>
      <c r="J42" s="126">
        <v>4210</v>
      </c>
      <c r="K42" s="126">
        <v>4210</v>
      </c>
      <c r="L42" s="126">
        <v>4147</v>
      </c>
      <c r="M42" s="126">
        <v>4147</v>
      </c>
      <c r="N42" s="126">
        <v>4152</v>
      </c>
      <c r="O42" s="126">
        <v>4152</v>
      </c>
      <c r="P42" s="126">
        <v>4152</v>
      </c>
      <c r="Q42" s="126">
        <v>4152</v>
      </c>
      <c r="R42" s="126">
        <v>4122</v>
      </c>
      <c r="S42" s="126">
        <v>4122</v>
      </c>
      <c r="T42" s="176">
        <f>SUM(H42:S42)</f>
        <v>49986</v>
      </c>
      <c r="U42" s="117">
        <f>T42/12</f>
        <v>4165.5</v>
      </c>
    </row>
    <row r="44" spans="1:21" ht="45.75" customHeight="1" x14ac:dyDescent="0.3">
      <c r="A44" s="135" t="s">
        <v>96</v>
      </c>
      <c r="B44" s="463" t="s">
        <v>165</v>
      </c>
      <c r="C44" s="463"/>
      <c r="D44" s="463"/>
      <c r="E44" s="146">
        <f>IFERROR(ROUND($E$31*E42,2),0)</f>
        <v>146042.78</v>
      </c>
      <c r="F44" s="117" t="s">
        <v>89</v>
      </c>
      <c r="H44" s="122"/>
      <c r="I44" s="122"/>
      <c r="J44" s="122"/>
      <c r="K44" s="122"/>
    </row>
    <row r="45" spans="1:21" s="150" customFormat="1" ht="45.75" customHeight="1" x14ac:dyDescent="0.35">
      <c r="A45" s="147"/>
      <c r="B45" s="148"/>
      <c r="C45" s="148"/>
      <c r="D45" s="148"/>
      <c r="E45" s="149"/>
      <c r="H45" s="151"/>
      <c r="I45" s="151"/>
      <c r="J45" s="151"/>
      <c r="K45" s="151"/>
    </row>
    <row r="46" spans="1:21" ht="54" customHeight="1" x14ac:dyDescent="0.3">
      <c r="A46" s="464" t="s">
        <v>120</v>
      </c>
      <c r="B46" s="465"/>
      <c r="C46" s="465"/>
      <c r="D46" s="465"/>
      <c r="E46" s="465"/>
      <c r="F46" s="465"/>
    </row>
    <row r="48" spans="1:21" ht="27" customHeight="1" x14ac:dyDescent="0.25">
      <c r="B48" s="120"/>
    </row>
    <row r="49" spans="1:21" x14ac:dyDescent="0.25">
      <c r="A49" s="117" t="s">
        <v>92</v>
      </c>
    </row>
    <row r="50" spans="1:21" ht="28.5" customHeight="1" x14ac:dyDescent="0.3">
      <c r="A50" s="120"/>
      <c r="B50" s="463" t="s">
        <v>109</v>
      </c>
      <c r="C50" s="463"/>
      <c r="D50" s="463"/>
      <c r="E50" s="152">
        <f>ROUND(U50,4)</f>
        <v>19085.5</v>
      </c>
      <c r="F50" s="117" t="s">
        <v>91</v>
      </c>
      <c r="G50" s="153">
        <f>E50-E58-E64</f>
        <v>0</v>
      </c>
      <c r="H50" s="183">
        <f>H58+H64</f>
        <v>19151</v>
      </c>
      <c r="I50" s="183">
        <f t="shared" ref="I50:S50" si="2">I58+I64</f>
        <v>19151</v>
      </c>
      <c r="J50" s="183">
        <f t="shared" si="2"/>
        <v>19151</v>
      </c>
      <c r="K50" s="183">
        <f t="shared" si="2"/>
        <v>19151</v>
      </c>
      <c r="L50" s="183">
        <f t="shared" si="2"/>
        <v>19146</v>
      </c>
      <c r="M50" s="183">
        <f t="shared" si="2"/>
        <v>19146</v>
      </c>
      <c r="N50" s="183">
        <f t="shared" si="2"/>
        <v>19062</v>
      </c>
      <c r="O50" s="183">
        <f t="shared" si="2"/>
        <v>19062</v>
      </c>
      <c r="P50" s="183">
        <f t="shared" si="2"/>
        <v>19062</v>
      </c>
      <c r="Q50" s="183">
        <f t="shared" si="2"/>
        <v>19062</v>
      </c>
      <c r="R50" s="183">
        <f t="shared" si="2"/>
        <v>18941</v>
      </c>
      <c r="S50" s="183">
        <f t="shared" si="2"/>
        <v>18941</v>
      </c>
      <c r="T50" s="185">
        <f>SUM(H50:S50)</f>
        <v>229026</v>
      </c>
      <c r="U50" s="185">
        <f>T50/12</f>
        <v>19085.5</v>
      </c>
    </row>
    <row r="51" spans="1:21" ht="18.75" x14ac:dyDescent="0.3">
      <c r="E51" s="125"/>
      <c r="H51" s="185" t="s">
        <v>111</v>
      </c>
      <c r="I51" s="185" t="s">
        <v>172</v>
      </c>
      <c r="J51" s="185" t="s">
        <v>173</v>
      </c>
      <c r="K51" s="185" t="s">
        <v>174</v>
      </c>
      <c r="L51" s="185" t="s">
        <v>114</v>
      </c>
      <c r="M51" s="185" t="s">
        <v>115</v>
      </c>
      <c r="N51" s="185" t="s">
        <v>116</v>
      </c>
      <c r="O51" s="185" t="s">
        <v>117</v>
      </c>
      <c r="P51" s="185" t="s">
        <v>175</v>
      </c>
      <c r="Q51" s="185" t="s">
        <v>176</v>
      </c>
      <c r="R51" s="185" t="s">
        <v>118</v>
      </c>
      <c r="S51" s="185" t="s">
        <v>177</v>
      </c>
      <c r="T51" s="185"/>
      <c r="U51" s="138"/>
    </row>
    <row r="52" spans="1:21" ht="29.25" customHeight="1" x14ac:dyDescent="0.3">
      <c r="A52" s="120"/>
      <c r="B52" s="463" t="s">
        <v>113</v>
      </c>
      <c r="C52" s="463"/>
      <c r="D52" s="463"/>
      <c r="E52" s="146">
        <f>IFERROR(ROUND($E$53*E50,2),0)</f>
        <v>669139.24</v>
      </c>
      <c r="F52" s="117" t="s">
        <v>89</v>
      </c>
      <c r="G52" s="144">
        <f>E52-E60-E66</f>
        <v>0</v>
      </c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1" ht="75.75" customHeight="1" x14ac:dyDescent="0.3">
      <c r="A53" s="120"/>
      <c r="B53" s="463" t="s">
        <v>209</v>
      </c>
      <c r="C53" s="463"/>
      <c r="D53" s="463"/>
      <c r="E53" s="332">
        <f>$E$21*'Прил_3_Доп. критерии'!$K$16</f>
        <v>35.060084429744229</v>
      </c>
      <c r="F53" s="117" t="s">
        <v>89</v>
      </c>
      <c r="G53" s="144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1" ht="15.75" customHeight="1" x14ac:dyDescent="0.25">
      <c r="A54" s="127" t="s">
        <v>93</v>
      </c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1:21" ht="14.25" customHeight="1" x14ac:dyDescent="0.25">
      <c r="A55" s="128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  <row r="56" spans="1:21" s="131" customFormat="1" ht="24" customHeight="1" x14ac:dyDescent="0.35">
      <c r="A56" s="129" t="s">
        <v>94</v>
      </c>
      <c r="B56" s="130"/>
      <c r="C56" s="130"/>
      <c r="D56" s="130"/>
      <c r="E56" s="130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</row>
    <row r="57" spans="1:21" ht="12.75" customHeight="1" x14ac:dyDescent="0.25"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</row>
    <row r="58" spans="1:21" ht="66.75" customHeight="1" x14ac:dyDescent="0.3">
      <c r="A58" s="133" t="s">
        <v>95</v>
      </c>
      <c r="B58" s="463" t="s">
        <v>160</v>
      </c>
      <c r="C58" s="463"/>
      <c r="D58" s="463"/>
      <c r="E58" s="134">
        <f>ROUND(U58,4)</f>
        <v>17749.166700000002</v>
      </c>
      <c r="F58" s="117" t="s">
        <v>91</v>
      </c>
      <c r="H58" s="126">
        <v>17827</v>
      </c>
      <c r="I58" s="126">
        <v>17827</v>
      </c>
      <c r="J58" s="126">
        <v>17827</v>
      </c>
      <c r="K58" s="126">
        <v>17827</v>
      </c>
      <c r="L58" s="126">
        <v>17800</v>
      </c>
      <c r="M58" s="126">
        <v>17800</v>
      </c>
      <c r="N58" s="126">
        <v>17719</v>
      </c>
      <c r="O58" s="126">
        <v>17719</v>
      </c>
      <c r="P58" s="126">
        <v>17719</v>
      </c>
      <c r="Q58" s="126">
        <v>17719</v>
      </c>
      <c r="R58" s="126">
        <v>17603</v>
      </c>
      <c r="S58" s="126">
        <v>17603</v>
      </c>
      <c r="T58" s="117">
        <f>SUM(H58:S58)</f>
        <v>212990</v>
      </c>
      <c r="U58" s="117">
        <f>T58/12</f>
        <v>17749.166666666668</v>
      </c>
    </row>
    <row r="59" spans="1:21" ht="18.75" x14ac:dyDescent="0.3">
      <c r="E59" s="125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</row>
    <row r="60" spans="1:21" ht="45.75" customHeight="1" x14ac:dyDescent="0.3">
      <c r="A60" s="135" t="s">
        <v>96</v>
      </c>
      <c r="B60" s="463" t="s">
        <v>163</v>
      </c>
      <c r="C60" s="463"/>
      <c r="D60" s="463"/>
      <c r="E60" s="146">
        <f>IFERROR(ROUND($E$53*E58,2),0)</f>
        <v>622287.28</v>
      </c>
      <c r="F60" s="117" t="s">
        <v>89</v>
      </c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</row>
    <row r="61" spans="1:21" x14ac:dyDescent="0.25"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</row>
    <row r="62" spans="1:21" s="131" customFormat="1" ht="25.5" customHeight="1" x14ac:dyDescent="0.35">
      <c r="A62" s="129" t="s">
        <v>128</v>
      </c>
      <c r="B62" s="130"/>
      <c r="C62" s="130"/>
      <c r="D62" s="130"/>
      <c r="E62" s="130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</row>
    <row r="63" spans="1:21" ht="9" customHeight="1" x14ac:dyDescent="0.25"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</row>
    <row r="64" spans="1:21" ht="61.5" customHeight="1" x14ac:dyDescent="0.3">
      <c r="A64" s="133" t="s">
        <v>95</v>
      </c>
      <c r="B64" s="463" t="s">
        <v>161</v>
      </c>
      <c r="C64" s="463"/>
      <c r="D64" s="463"/>
      <c r="E64" s="134">
        <f>ROUND(U64,4)</f>
        <v>1336.3333</v>
      </c>
      <c r="F64" s="117" t="s">
        <v>91</v>
      </c>
      <c r="H64" s="126">
        <v>1324</v>
      </c>
      <c r="I64" s="126">
        <v>1324</v>
      </c>
      <c r="J64" s="126">
        <v>1324</v>
      </c>
      <c r="K64" s="126">
        <v>1324</v>
      </c>
      <c r="L64" s="126">
        <v>1346</v>
      </c>
      <c r="M64" s="126">
        <v>1346</v>
      </c>
      <c r="N64" s="126">
        <v>1343</v>
      </c>
      <c r="O64" s="126">
        <v>1343</v>
      </c>
      <c r="P64" s="126">
        <v>1343</v>
      </c>
      <c r="Q64" s="126">
        <v>1343</v>
      </c>
      <c r="R64" s="126">
        <v>1338</v>
      </c>
      <c r="S64" s="126">
        <v>1338</v>
      </c>
      <c r="T64" s="117">
        <f>SUM(H64:S64)</f>
        <v>16036</v>
      </c>
      <c r="U64" s="117">
        <f>T64/12</f>
        <v>1336.3333333333333</v>
      </c>
    </row>
    <row r="66" spans="1:21" ht="45.75" customHeight="1" x14ac:dyDescent="0.3">
      <c r="A66" s="135" t="s">
        <v>96</v>
      </c>
      <c r="B66" s="463" t="s">
        <v>162</v>
      </c>
      <c r="C66" s="463"/>
      <c r="D66" s="463"/>
      <c r="E66" s="146">
        <f>IFERROR(ROUND($E$53*E64,2),0)</f>
        <v>46851.96</v>
      </c>
      <c r="F66" s="117" t="s">
        <v>89</v>
      </c>
      <c r="H66" s="122"/>
      <c r="I66" s="122"/>
      <c r="J66" s="122"/>
      <c r="K66" s="122"/>
    </row>
    <row r="68" spans="1:21" ht="54" customHeight="1" x14ac:dyDescent="0.3">
      <c r="A68" s="464" t="s">
        <v>121</v>
      </c>
      <c r="B68" s="465"/>
      <c r="C68" s="465"/>
      <c r="D68" s="465"/>
      <c r="E68" s="465"/>
      <c r="F68" s="465"/>
    </row>
    <row r="70" spans="1:21" ht="27" customHeight="1" x14ac:dyDescent="0.25">
      <c r="B70" s="120"/>
    </row>
    <row r="71" spans="1:21" x14ac:dyDescent="0.25">
      <c r="A71" s="117" t="s">
        <v>92</v>
      </c>
    </row>
    <row r="72" spans="1:21" ht="28.5" customHeight="1" x14ac:dyDescent="0.3">
      <c r="A72" s="120"/>
      <c r="B72" s="463" t="s">
        <v>109</v>
      </c>
      <c r="C72" s="463"/>
      <c r="D72" s="463"/>
      <c r="E72" s="152">
        <f>ROUND(U72,4)</f>
        <v>72210</v>
      </c>
      <c r="F72" s="117" t="s">
        <v>91</v>
      </c>
      <c r="G72" s="153">
        <f>E72-E80-E86</f>
        <v>0</v>
      </c>
      <c r="H72" s="178">
        <f>H80+H86</f>
        <v>72748</v>
      </c>
      <c r="I72" s="178">
        <f t="shared" ref="I72:S72" si="3">I80+I86</f>
        <v>72748</v>
      </c>
      <c r="J72" s="178">
        <f t="shared" si="3"/>
        <v>72748</v>
      </c>
      <c r="K72" s="178">
        <f t="shared" si="3"/>
        <v>72748</v>
      </c>
      <c r="L72" s="178">
        <f t="shared" si="3"/>
        <v>72089</v>
      </c>
      <c r="M72" s="178">
        <f t="shared" si="3"/>
        <v>72089</v>
      </c>
      <c r="N72" s="178">
        <f t="shared" si="3"/>
        <v>71918</v>
      </c>
      <c r="O72" s="178">
        <f t="shared" si="3"/>
        <v>71918</v>
      </c>
      <c r="P72" s="178">
        <f t="shared" si="3"/>
        <v>71918</v>
      </c>
      <c r="Q72" s="178">
        <f t="shared" si="3"/>
        <v>71918</v>
      </c>
      <c r="R72" s="178">
        <f t="shared" si="3"/>
        <v>71839</v>
      </c>
      <c r="S72" s="178">
        <f t="shared" si="3"/>
        <v>71839</v>
      </c>
      <c r="T72" s="178">
        <f>SUM(H72:S72)</f>
        <v>866520</v>
      </c>
      <c r="U72" s="176">
        <f>T72/12</f>
        <v>72210</v>
      </c>
    </row>
    <row r="73" spans="1:21" ht="18.75" x14ac:dyDescent="0.3">
      <c r="E73" s="125"/>
      <c r="H73" s="117" t="s">
        <v>111</v>
      </c>
      <c r="I73" s="117" t="s">
        <v>172</v>
      </c>
      <c r="J73" s="117" t="s">
        <v>173</v>
      </c>
      <c r="K73" s="117" t="s">
        <v>174</v>
      </c>
      <c r="L73" s="117" t="s">
        <v>114</v>
      </c>
      <c r="M73" s="117" t="s">
        <v>115</v>
      </c>
      <c r="N73" s="117" t="s">
        <v>116</v>
      </c>
      <c r="O73" s="117" t="s">
        <v>117</v>
      </c>
      <c r="P73" s="117" t="s">
        <v>175</v>
      </c>
      <c r="Q73" s="117" t="s">
        <v>176</v>
      </c>
      <c r="R73" s="117" t="s">
        <v>118</v>
      </c>
      <c r="S73" s="117" t="s">
        <v>177</v>
      </c>
    </row>
    <row r="74" spans="1:21" ht="29.25" customHeight="1" x14ac:dyDescent="0.3">
      <c r="A74" s="120"/>
      <c r="B74" s="463" t="s">
        <v>113</v>
      </c>
      <c r="C74" s="463"/>
      <c r="D74" s="463"/>
      <c r="E74" s="146">
        <f>IFERROR(ROUND($E$75*E72,2),0)</f>
        <v>2531688.7000000002</v>
      </c>
      <c r="F74" s="117" t="s">
        <v>89</v>
      </c>
      <c r="G74" s="144">
        <f>E74-E82-E88</f>
        <v>1.0000000154832378E-2</v>
      </c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</row>
    <row r="75" spans="1:21" ht="76.5" customHeight="1" x14ac:dyDescent="0.3">
      <c r="A75" s="120"/>
      <c r="B75" s="463" t="s">
        <v>209</v>
      </c>
      <c r="C75" s="463"/>
      <c r="D75" s="463"/>
      <c r="E75" s="332">
        <f>$E$21*'Прил_3_Доп. критерии'!$K$17</f>
        <v>35.060084429744229</v>
      </c>
      <c r="F75" s="117" t="s">
        <v>89</v>
      </c>
      <c r="G75" s="144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</row>
    <row r="76" spans="1:21" ht="15.75" customHeight="1" x14ac:dyDescent="0.25">
      <c r="A76" s="127" t="s">
        <v>93</v>
      </c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</row>
    <row r="77" spans="1:21" ht="14.25" customHeight="1" x14ac:dyDescent="0.25">
      <c r="A77" s="128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</row>
    <row r="78" spans="1:21" s="131" customFormat="1" ht="24" customHeight="1" x14ac:dyDescent="0.35">
      <c r="A78" s="129" t="s">
        <v>94</v>
      </c>
      <c r="B78" s="130"/>
      <c r="C78" s="130"/>
      <c r="D78" s="130"/>
      <c r="E78" s="130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</row>
    <row r="79" spans="1:21" ht="12.75" customHeight="1" x14ac:dyDescent="0.25"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</row>
    <row r="80" spans="1:21" ht="47.25" customHeight="1" x14ac:dyDescent="0.3">
      <c r="A80" s="133" t="s">
        <v>95</v>
      </c>
      <c r="B80" s="463" t="s">
        <v>157</v>
      </c>
      <c r="C80" s="463"/>
      <c r="D80" s="463"/>
      <c r="E80" s="134">
        <f>ROUND(U80,4)</f>
        <v>65960.666700000002</v>
      </c>
      <c r="F80" s="117" t="s">
        <v>91</v>
      </c>
      <c r="H80" s="126">
        <v>66454</v>
      </c>
      <c r="I80" s="126">
        <v>66454</v>
      </c>
      <c r="J80" s="126">
        <v>66454</v>
      </c>
      <c r="K80" s="126">
        <v>66454</v>
      </c>
      <c r="L80" s="126">
        <v>65893</v>
      </c>
      <c r="M80" s="126">
        <v>65893</v>
      </c>
      <c r="N80" s="126">
        <v>65708</v>
      </c>
      <c r="O80" s="126">
        <v>65708</v>
      </c>
      <c r="P80" s="126">
        <v>65708</v>
      </c>
      <c r="Q80" s="126">
        <v>65708</v>
      </c>
      <c r="R80" s="126">
        <v>65547</v>
      </c>
      <c r="S80" s="126">
        <v>65547</v>
      </c>
      <c r="T80" s="117">
        <f>SUM(H80:S80)</f>
        <v>791528</v>
      </c>
      <c r="U80" s="117">
        <f>T80/12</f>
        <v>65960.666666666672</v>
      </c>
    </row>
    <row r="81" spans="1:21" ht="18.75" x14ac:dyDescent="0.3">
      <c r="E81" s="125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</row>
    <row r="82" spans="1:21" ht="45.75" customHeight="1" x14ac:dyDescent="0.3">
      <c r="A82" s="135" t="s">
        <v>96</v>
      </c>
      <c r="B82" s="463" t="s">
        <v>158</v>
      </c>
      <c r="C82" s="463"/>
      <c r="D82" s="463"/>
      <c r="E82" s="146">
        <f>IFERROR(ROUND($E$75*E80,2),0)</f>
        <v>2312586.54</v>
      </c>
      <c r="F82" s="117" t="s">
        <v>89</v>
      </c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</row>
    <row r="83" spans="1:21" x14ac:dyDescent="0.25"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</row>
    <row r="84" spans="1:21" s="131" customFormat="1" ht="25.5" customHeight="1" x14ac:dyDescent="0.35">
      <c r="A84" s="129" t="s">
        <v>128</v>
      </c>
      <c r="B84" s="130"/>
      <c r="C84" s="130"/>
      <c r="D84" s="130"/>
      <c r="E84" s="130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</row>
    <row r="85" spans="1:21" ht="9" customHeight="1" x14ac:dyDescent="0.25"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</row>
    <row r="86" spans="1:21" ht="61.5" customHeight="1" x14ac:dyDescent="0.3">
      <c r="A86" s="133" t="s">
        <v>95</v>
      </c>
      <c r="B86" s="463" t="s">
        <v>156</v>
      </c>
      <c r="C86" s="463"/>
      <c r="D86" s="463"/>
      <c r="E86" s="134">
        <f>ROUND(U86,4)</f>
        <v>6249.3333000000002</v>
      </c>
      <c r="F86" s="117" t="s">
        <v>91</v>
      </c>
      <c r="H86" s="126">
        <v>6294</v>
      </c>
      <c r="I86" s="126">
        <v>6294</v>
      </c>
      <c r="J86" s="126">
        <v>6294</v>
      </c>
      <c r="K86" s="126">
        <v>6294</v>
      </c>
      <c r="L86" s="126">
        <v>6196</v>
      </c>
      <c r="M86" s="126">
        <v>6196</v>
      </c>
      <c r="N86" s="126">
        <v>6210</v>
      </c>
      <c r="O86" s="126">
        <v>6210</v>
      </c>
      <c r="P86" s="126">
        <v>6210</v>
      </c>
      <c r="Q86" s="126">
        <v>6210</v>
      </c>
      <c r="R86" s="126">
        <v>6292</v>
      </c>
      <c r="S86" s="126">
        <v>6292</v>
      </c>
      <c r="T86" s="117">
        <f>SUM(H86:S86)</f>
        <v>74992</v>
      </c>
      <c r="U86" s="117">
        <f>T86/12</f>
        <v>6249.333333333333</v>
      </c>
    </row>
    <row r="88" spans="1:21" ht="45.75" customHeight="1" x14ac:dyDescent="0.3">
      <c r="A88" s="135" t="s">
        <v>96</v>
      </c>
      <c r="B88" s="463" t="s">
        <v>159</v>
      </c>
      <c r="C88" s="463"/>
      <c r="D88" s="463"/>
      <c r="E88" s="146">
        <f>IFERROR(ROUND($E$75*E86,2),0)</f>
        <v>219102.15</v>
      </c>
      <c r="F88" s="117" t="s">
        <v>89</v>
      </c>
      <c r="H88" s="122"/>
      <c r="I88" s="122"/>
      <c r="J88" s="122"/>
      <c r="K88" s="122"/>
    </row>
    <row r="89" spans="1:21" s="150" customFormat="1" ht="45.75" customHeight="1" x14ac:dyDescent="0.35">
      <c r="A89" s="147"/>
      <c r="B89" s="148"/>
      <c r="C89" s="148"/>
      <c r="D89" s="148"/>
      <c r="E89" s="149"/>
      <c r="H89" s="151"/>
      <c r="I89" s="151"/>
      <c r="J89" s="151"/>
      <c r="K89" s="151"/>
    </row>
    <row r="90" spans="1:21" ht="50.25" customHeight="1" x14ac:dyDescent="0.3">
      <c r="A90" s="118" t="s">
        <v>124</v>
      </c>
      <c r="B90" s="458" t="s">
        <v>98</v>
      </c>
      <c r="C90" s="458"/>
      <c r="D90" s="458"/>
      <c r="E90" s="458"/>
      <c r="F90" s="458"/>
    </row>
    <row r="92" spans="1:21" ht="33" customHeight="1" x14ac:dyDescent="0.25">
      <c r="A92" s="468" t="s">
        <v>99</v>
      </c>
      <c r="B92" s="471"/>
      <c r="C92" s="471"/>
      <c r="D92" s="471"/>
      <c r="E92" s="471"/>
      <c r="F92" s="471"/>
    </row>
    <row r="94" spans="1:21" ht="36.75" customHeight="1" x14ac:dyDescent="0.25">
      <c r="B94" s="120"/>
    </row>
    <row r="96" spans="1:21" ht="45.75" customHeight="1" x14ac:dyDescent="0.3">
      <c r="A96" s="120"/>
      <c r="B96" s="463" t="s">
        <v>110</v>
      </c>
      <c r="C96" s="463"/>
      <c r="D96" s="463"/>
      <c r="E96" s="123">
        <f>E12</f>
        <v>6604076.1100000003</v>
      </c>
      <c r="F96" s="117" t="s">
        <v>89</v>
      </c>
    </row>
    <row r="98" spans="1:6" ht="31.5" customHeight="1" x14ac:dyDescent="0.25">
      <c r="A98" s="136" t="s">
        <v>100</v>
      </c>
      <c r="B98" s="463" t="s">
        <v>101</v>
      </c>
      <c r="C98" s="463"/>
      <c r="D98" s="463"/>
      <c r="E98" s="117">
        <f>МОЦОМиД!U36</f>
        <v>6</v>
      </c>
      <c r="F98" s="117" t="s">
        <v>147</v>
      </c>
    </row>
    <row r="100" spans="1:6" x14ac:dyDescent="0.25">
      <c r="A100" s="120"/>
    </row>
    <row r="101" spans="1:6" ht="63" customHeight="1" x14ac:dyDescent="0.3">
      <c r="A101" s="120"/>
      <c r="B101" s="463" t="s">
        <v>102</v>
      </c>
      <c r="C101" s="463"/>
      <c r="D101" s="463"/>
      <c r="E101" s="123">
        <f>ROUND(E96*30%/E98,2)</f>
        <v>330203.81</v>
      </c>
      <c r="F101" s="117" t="s">
        <v>89</v>
      </c>
    </row>
    <row r="103" spans="1:6" ht="49.5" customHeight="1" x14ac:dyDescent="0.25">
      <c r="A103" s="468" t="s">
        <v>103</v>
      </c>
      <c r="B103" s="468"/>
      <c r="C103" s="468"/>
      <c r="D103" s="468"/>
      <c r="E103" s="468"/>
      <c r="F103" s="468"/>
    </row>
    <row r="105" spans="1:6" ht="32.25" customHeight="1" x14ac:dyDescent="0.25">
      <c r="B105" s="120"/>
    </row>
    <row r="107" spans="1:6" ht="21.75" customHeight="1" x14ac:dyDescent="0.25">
      <c r="A107" s="120"/>
      <c r="B107" s="117" t="s">
        <v>104</v>
      </c>
    </row>
    <row r="110" spans="1:6" ht="60.75" customHeight="1" x14ac:dyDescent="0.25">
      <c r="A110" s="469" t="s">
        <v>105</v>
      </c>
      <c r="B110" s="470"/>
      <c r="C110" s="470"/>
      <c r="D110" s="470"/>
      <c r="E110" s="470"/>
      <c r="F110" s="470"/>
    </row>
    <row r="111" spans="1:6" ht="17.25" customHeight="1" x14ac:dyDescent="0.25">
      <c r="A111" s="139"/>
      <c r="B111" s="140"/>
      <c r="C111" s="140"/>
      <c r="D111" s="140"/>
      <c r="E111" s="140"/>
      <c r="F111" s="140"/>
    </row>
    <row r="112" spans="1:6" ht="63.75" customHeight="1" x14ac:dyDescent="0.25">
      <c r="A112" s="467" t="s">
        <v>149</v>
      </c>
      <c r="B112" s="467"/>
      <c r="C112" s="467"/>
      <c r="D112" s="467"/>
      <c r="E112" s="467"/>
      <c r="F112" s="467"/>
    </row>
    <row r="114" spans="1:21" ht="54" customHeight="1" x14ac:dyDescent="0.3">
      <c r="A114" s="464" t="s">
        <v>153</v>
      </c>
      <c r="B114" s="465"/>
      <c r="C114" s="465"/>
      <c r="D114" s="465"/>
      <c r="E114" s="465"/>
      <c r="F114" s="465"/>
    </row>
    <row r="116" spans="1:21" ht="27" customHeight="1" x14ac:dyDescent="0.3">
      <c r="B116" s="466" t="s">
        <v>154</v>
      </c>
      <c r="C116" s="466"/>
    </row>
    <row r="117" spans="1:21" x14ac:dyDescent="0.25">
      <c r="A117" s="117" t="s">
        <v>92</v>
      </c>
    </row>
    <row r="118" spans="1:21" ht="36" customHeight="1" x14ac:dyDescent="0.3">
      <c r="A118" s="166" t="s">
        <v>167</v>
      </c>
      <c r="B118" s="463" t="s">
        <v>150</v>
      </c>
      <c r="C118" s="463"/>
      <c r="D118" s="463"/>
      <c r="E118" s="146">
        <f>E96*0.3</f>
        <v>1981222.8330000001</v>
      </c>
      <c r="F118" s="117" t="s">
        <v>89</v>
      </c>
      <c r="G118" s="144">
        <f>E118-E129-E135</f>
        <v>3.0000000260770321E-3</v>
      </c>
    </row>
    <row r="119" spans="1:21" ht="9" customHeight="1" x14ac:dyDescent="0.3">
      <c r="A119" s="166"/>
      <c r="B119" s="137"/>
      <c r="C119" s="137"/>
      <c r="D119" s="137"/>
      <c r="E119" s="146"/>
    </row>
    <row r="120" spans="1:21" ht="28.5" customHeight="1" x14ac:dyDescent="0.3">
      <c r="A120" s="166" t="s">
        <v>152</v>
      </c>
      <c r="B120" s="463" t="s">
        <v>109</v>
      </c>
      <c r="C120" s="463"/>
      <c r="D120" s="463"/>
      <c r="E120" s="169">
        <f>ROUND(U120,4)</f>
        <v>19085.5</v>
      </c>
      <c r="F120" s="117" t="s">
        <v>91</v>
      </c>
      <c r="G120" s="153">
        <f>E120-E127-E133</f>
        <v>0</v>
      </c>
      <c r="H120" s="183">
        <f>H127+H133</f>
        <v>19151</v>
      </c>
      <c r="I120" s="183">
        <f t="shared" ref="I120:S120" si="4">I127+I133</f>
        <v>19151</v>
      </c>
      <c r="J120" s="183">
        <f t="shared" si="4"/>
        <v>19151</v>
      </c>
      <c r="K120" s="183">
        <f t="shared" si="4"/>
        <v>19151</v>
      </c>
      <c r="L120" s="183">
        <f t="shared" si="4"/>
        <v>19146</v>
      </c>
      <c r="M120" s="183">
        <f t="shared" si="4"/>
        <v>19146</v>
      </c>
      <c r="N120" s="183">
        <f t="shared" si="4"/>
        <v>19062</v>
      </c>
      <c r="O120" s="183">
        <f t="shared" si="4"/>
        <v>19062</v>
      </c>
      <c r="P120" s="183">
        <f t="shared" si="4"/>
        <v>19062</v>
      </c>
      <c r="Q120" s="183">
        <f t="shared" si="4"/>
        <v>19062</v>
      </c>
      <c r="R120" s="183">
        <f t="shared" si="4"/>
        <v>18941</v>
      </c>
      <c r="S120" s="183">
        <f t="shared" si="4"/>
        <v>18941</v>
      </c>
      <c r="T120" s="185">
        <f>SUM(H120:S120)</f>
        <v>229026</v>
      </c>
      <c r="U120" s="185">
        <f>T120/12</f>
        <v>19085.5</v>
      </c>
    </row>
    <row r="121" spans="1:21" ht="15.75" customHeight="1" x14ac:dyDescent="0.3">
      <c r="E121" s="125"/>
      <c r="H121" s="185" t="s">
        <v>111</v>
      </c>
      <c r="I121" s="185" t="s">
        <v>172</v>
      </c>
      <c r="J121" s="185" t="s">
        <v>173</v>
      </c>
      <c r="K121" s="185" t="s">
        <v>174</v>
      </c>
      <c r="L121" s="185" t="s">
        <v>114</v>
      </c>
      <c r="M121" s="185" t="s">
        <v>115</v>
      </c>
      <c r="N121" s="185" t="s">
        <v>116</v>
      </c>
      <c r="O121" s="185" t="s">
        <v>117</v>
      </c>
      <c r="P121" s="185" t="s">
        <v>175</v>
      </c>
      <c r="Q121" s="185" t="s">
        <v>176</v>
      </c>
      <c r="R121" s="185" t="s">
        <v>118</v>
      </c>
      <c r="S121" s="185" t="s">
        <v>177</v>
      </c>
      <c r="T121" s="185"/>
      <c r="U121" s="138"/>
    </row>
    <row r="122" spans="1:21" ht="66" customHeight="1" x14ac:dyDescent="0.3">
      <c r="A122" s="166" t="s">
        <v>151</v>
      </c>
      <c r="B122" s="463" t="s">
        <v>168</v>
      </c>
      <c r="C122" s="463"/>
      <c r="D122" s="463"/>
      <c r="E122" s="168">
        <f>E118/E120</f>
        <v>103.80775106756438</v>
      </c>
      <c r="F122" s="117" t="s">
        <v>89</v>
      </c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</row>
    <row r="123" spans="1:21" ht="15.75" customHeight="1" x14ac:dyDescent="0.25">
      <c r="A123" s="127" t="s">
        <v>93</v>
      </c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</row>
    <row r="124" spans="1:21" ht="14.25" customHeight="1" x14ac:dyDescent="0.25">
      <c r="A124" s="128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</row>
    <row r="125" spans="1:21" s="131" customFormat="1" ht="24" customHeight="1" x14ac:dyDescent="0.35">
      <c r="A125" s="129" t="s">
        <v>94</v>
      </c>
      <c r="B125" s="130"/>
      <c r="C125" s="130"/>
      <c r="D125" s="130"/>
      <c r="E125" s="130"/>
      <c r="H125" s="132"/>
      <c r="I125" s="132"/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</row>
    <row r="126" spans="1:21" ht="12.75" customHeight="1" x14ac:dyDescent="0.25"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</row>
    <row r="127" spans="1:21" ht="66.75" customHeight="1" x14ac:dyDescent="0.3">
      <c r="A127" s="133" t="s">
        <v>95</v>
      </c>
      <c r="B127" s="463" t="s">
        <v>160</v>
      </c>
      <c r="C127" s="463"/>
      <c r="D127" s="463"/>
      <c r="E127" s="134">
        <f>ROUND(U127,4)</f>
        <v>17749.166700000002</v>
      </c>
      <c r="F127" s="117" t="s">
        <v>91</v>
      </c>
      <c r="H127" s="126">
        <v>17827</v>
      </c>
      <c r="I127" s="126">
        <v>17827</v>
      </c>
      <c r="J127" s="126">
        <v>17827</v>
      </c>
      <c r="K127" s="126">
        <v>17827</v>
      </c>
      <c r="L127" s="126">
        <v>17800</v>
      </c>
      <c r="M127" s="126">
        <v>17800</v>
      </c>
      <c r="N127" s="126">
        <v>17719</v>
      </c>
      <c r="O127" s="126">
        <v>17719</v>
      </c>
      <c r="P127" s="126">
        <v>17719</v>
      </c>
      <c r="Q127" s="126">
        <v>17719</v>
      </c>
      <c r="R127" s="126">
        <v>17603</v>
      </c>
      <c r="S127" s="126">
        <v>17603</v>
      </c>
      <c r="T127" s="117">
        <f>SUM(H127:S127)</f>
        <v>212990</v>
      </c>
      <c r="U127" s="117">
        <f>T127/12</f>
        <v>17749.166666666668</v>
      </c>
    </row>
    <row r="128" spans="1:21" ht="18.75" x14ac:dyDescent="0.3">
      <c r="E128" s="125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</row>
    <row r="129" spans="1:21" ht="45.75" customHeight="1" x14ac:dyDescent="0.35">
      <c r="A129" s="135" t="s">
        <v>96</v>
      </c>
      <c r="B129" s="463" t="s">
        <v>163</v>
      </c>
      <c r="C129" s="463"/>
      <c r="D129" s="463"/>
      <c r="E129" s="145">
        <f>IFERROR(ROUND($E$122*E127,2),0)</f>
        <v>1842501.08</v>
      </c>
      <c r="F129" s="117" t="s">
        <v>89</v>
      </c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</row>
    <row r="130" spans="1:21" x14ac:dyDescent="0.25"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</row>
    <row r="131" spans="1:21" s="131" customFormat="1" ht="25.5" customHeight="1" x14ac:dyDescent="0.35">
      <c r="A131" s="129" t="s">
        <v>128</v>
      </c>
      <c r="B131" s="130"/>
      <c r="C131" s="130"/>
      <c r="D131" s="130"/>
      <c r="E131" s="130"/>
      <c r="H131" s="132"/>
      <c r="I131" s="132"/>
      <c r="J131" s="132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</row>
    <row r="132" spans="1:21" ht="9" customHeight="1" x14ac:dyDescent="0.25"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</row>
    <row r="133" spans="1:21" ht="61.5" customHeight="1" x14ac:dyDescent="0.3">
      <c r="A133" s="133" t="s">
        <v>95</v>
      </c>
      <c r="B133" s="463" t="s">
        <v>161</v>
      </c>
      <c r="C133" s="463"/>
      <c r="D133" s="463"/>
      <c r="E133" s="134">
        <f>ROUND(U133,4)</f>
        <v>1336.3333</v>
      </c>
      <c r="F133" s="117" t="s">
        <v>91</v>
      </c>
      <c r="H133" s="126">
        <v>1324</v>
      </c>
      <c r="I133" s="126">
        <v>1324</v>
      </c>
      <c r="J133" s="126">
        <v>1324</v>
      </c>
      <c r="K133" s="126">
        <v>1324</v>
      </c>
      <c r="L133" s="126">
        <v>1346</v>
      </c>
      <c r="M133" s="126">
        <v>1346</v>
      </c>
      <c r="N133" s="126">
        <v>1343</v>
      </c>
      <c r="O133" s="126">
        <v>1343</v>
      </c>
      <c r="P133" s="126">
        <v>1343</v>
      </c>
      <c r="Q133" s="126">
        <v>1343</v>
      </c>
      <c r="R133" s="126">
        <v>1338</v>
      </c>
      <c r="S133" s="126">
        <v>1338</v>
      </c>
      <c r="T133" s="117">
        <f>SUM(H133:S133)</f>
        <v>16036</v>
      </c>
      <c r="U133" s="117">
        <f>T133/12</f>
        <v>1336.3333333333333</v>
      </c>
    </row>
    <row r="135" spans="1:21" ht="45.75" customHeight="1" x14ac:dyDescent="0.35">
      <c r="A135" s="135" t="s">
        <v>96</v>
      </c>
      <c r="B135" s="463" t="s">
        <v>162</v>
      </c>
      <c r="C135" s="463"/>
      <c r="D135" s="463"/>
      <c r="E135" s="145">
        <f>IFERROR(ROUND($E$122*E133,2),0)</f>
        <v>138721.75</v>
      </c>
      <c r="F135" s="117" t="s">
        <v>89</v>
      </c>
      <c r="H135" s="122"/>
      <c r="I135" s="122"/>
      <c r="J135" s="122"/>
      <c r="K135" s="122"/>
    </row>
  </sheetData>
  <mergeCells count="52">
    <mergeCell ref="B31:D31"/>
    <mergeCell ref="B53:D53"/>
    <mergeCell ref="B75:D75"/>
    <mergeCell ref="A112:F112"/>
    <mergeCell ref="A114:F114"/>
    <mergeCell ref="B72:D72"/>
    <mergeCell ref="B74:D74"/>
    <mergeCell ref="A68:F68"/>
    <mergeCell ref="B98:D98"/>
    <mergeCell ref="B101:D101"/>
    <mergeCell ref="A103:F103"/>
    <mergeCell ref="A110:F110"/>
    <mergeCell ref="B90:F90"/>
    <mergeCell ref="A92:F92"/>
    <mergeCell ref="B96:D96"/>
    <mergeCell ref="B82:D82"/>
    <mergeCell ref="B120:D120"/>
    <mergeCell ref="B122:D122"/>
    <mergeCell ref="B127:D127"/>
    <mergeCell ref="B135:D135"/>
    <mergeCell ref="B116:C116"/>
    <mergeCell ref="B118:D118"/>
    <mergeCell ref="B129:D129"/>
    <mergeCell ref="B133:D133"/>
    <mergeCell ref="A46:F46"/>
    <mergeCell ref="B50:D50"/>
    <mergeCell ref="B52:D52"/>
    <mergeCell ref="B58:D58"/>
    <mergeCell ref="B36:D36"/>
    <mergeCell ref="B86:D86"/>
    <mergeCell ref="B88:D88"/>
    <mergeCell ref="B17:D17"/>
    <mergeCell ref="B21:D21"/>
    <mergeCell ref="A24:F24"/>
    <mergeCell ref="B28:D28"/>
    <mergeCell ref="B30:D30"/>
    <mergeCell ref="B19:D19"/>
    <mergeCell ref="B22:D22"/>
    <mergeCell ref="B60:D60"/>
    <mergeCell ref="B64:D64"/>
    <mergeCell ref="B66:D66"/>
    <mergeCell ref="B80:D80"/>
    <mergeCell ref="B38:D38"/>
    <mergeCell ref="B42:D42"/>
    <mergeCell ref="B44:D44"/>
    <mergeCell ref="A6:F6"/>
    <mergeCell ref="A7:F7"/>
    <mergeCell ref="A8:F8"/>
    <mergeCell ref="B14:F14"/>
    <mergeCell ref="A15:F15"/>
    <mergeCell ref="A10:F10"/>
    <mergeCell ref="A12:D12"/>
  </mergeCells>
  <pageMargins left="0.7" right="0.7" top="0.75" bottom="0.75" header="0.3" footer="0.3"/>
  <pageSetup paperSize="9" scale="72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U126"/>
  <sheetViews>
    <sheetView view="pageBreakPreview" topLeftCell="A7" zoomScale="80" zoomScaleNormal="100" zoomScaleSheetLayoutView="80" workbookViewId="0">
      <selection activeCell="K9" sqref="K9"/>
    </sheetView>
  </sheetViews>
  <sheetFormatPr defaultRowHeight="15.75" x14ac:dyDescent="0.25"/>
  <cols>
    <col min="1" max="1" width="19.5703125" style="117" customWidth="1"/>
    <col min="2" max="2" width="22" style="117" customWidth="1"/>
    <col min="3" max="3" width="23.7109375" style="117" customWidth="1"/>
    <col min="4" max="4" width="25" style="117" customWidth="1"/>
    <col min="5" max="5" width="21.28515625" style="117" customWidth="1"/>
    <col min="6" max="6" width="9.28515625" style="117" customWidth="1"/>
    <col min="7" max="7" width="15.140625" style="117" bestFit="1" customWidth="1"/>
    <col min="8" max="11" width="15" style="117" customWidth="1"/>
    <col min="12" max="12" width="9.28515625" style="117" bestFit="1" customWidth="1"/>
    <col min="13" max="13" width="9.28515625" style="117" customWidth="1"/>
    <col min="14" max="14" width="9.28515625" style="117" bestFit="1" customWidth="1"/>
    <col min="15" max="17" width="9.28515625" style="117" customWidth="1"/>
    <col min="18" max="18" width="9.5703125" style="117" bestFit="1" customWidth="1"/>
    <col min="19" max="19" width="9.5703125" style="117" customWidth="1"/>
    <col min="20" max="20" width="9.28515625" style="117" bestFit="1" customWidth="1"/>
    <col min="21" max="16384" width="9.140625" style="117"/>
  </cols>
  <sheetData>
    <row r="1" spans="1:21" ht="16.5" x14ac:dyDescent="0.25">
      <c r="E1" s="87"/>
      <c r="F1" s="87" t="s">
        <v>171</v>
      </c>
    </row>
    <row r="2" spans="1:21" ht="16.5" x14ac:dyDescent="0.25">
      <c r="E2" s="97"/>
      <c r="F2" s="97" t="s">
        <v>79</v>
      </c>
    </row>
    <row r="3" spans="1:21" ht="16.5" x14ac:dyDescent="0.25">
      <c r="E3" s="175"/>
      <c r="F3" s="97" t="str">
        <f>МОБ!$R$3</f>
        <v>№ 10-01 от 25.06.2024</v>
      </c>
    </row>
    <row r="5" spans="1:21" ht="45.75" customHeight="1" x14ac:dyDescent="0.25">
      <c r="A5" s="461" t="s">
        <v>106</v>
      </c>
      <c r="B5" s="461"/>
      <c r="C5" s="461"/>
      <c r="D5" s="461"/>
      <c r="E5" s="461"/>
      <c r="F5" s="461"/>
    </row>
    <row r="7" spans="1:21" ht="57" customHeight="1" x14ac:dyDescent="0.3">
      <c r="A7" s="462" t="s">
        <v>148</v>
      </c>
      <c r="B7" s="462"/>
      <c r="C7" s="462"/>
      <c r="D7" s="462"/>
      <c r="E7" s="141">
        <v>521974.87</v>
      </c>
      <c r="F7" s="142" t="s">
        <v>89</v>
      </c>
      <c r="G7" s="122">
        <f>E7-E12</f>
        <v>0</v>
      </c>
    </row>
    <row r="9" spans="1:21" ht="44.25" customHeight="1" x14ac:dyDescent="0.3">
      <c r="A9" s="118" t="s">
        <v>123</v>
      </c>
      <c r="B9" s="458" t="s">
        <v>87</v>
      </c>
      <c r="C9" s="458"/>
      <c r="D9" s="458"/>
      <c r="E9" s="458"/>
      <c r="F9" s="458"/>
    </row>
    <row r="10" spans="1:21" ht="41.25" customHeight="1" x14ac:dyDescent="0.25">
      <c r="A10" s="459" t="s">
        <v>88</v>
      </c>
      <c r="B10" s="460"/>
      <c r="C10" s="460"/>
      <c r="D10" s="460"/>
      <c r="E10" s="460"/>
      <c r="F10" s="460"/>
    </row>
    <row r="11" spans="1:21" ht="41.25" customHeight="1" x14ac:dyDescent="0.25">
      <c r="A11" s="119"/>
      <c r="B11" s="120"/>
      <c r="C11" s="121"/>
      <c r="D11" s="121"/>
      <c r="E11" s="121"/>
      <c r="F11" s="121"/>
      <c r="H11" s="122"/>
      <c r="I11" s="122"/>
      <c r="J11" s="122"/>
      <c r="K11" s="122"/>
    </row>
    <row r="12" spans="1:21" ht="45.75" customHeight="1" x14ac:dyDescent="0.3">
      <c r="A12" s="120"/>
      <c r="B12" s="463" t="s">
        <v>110</v>
      </c>
      <c r="C12" s="463"/>
      <c r="D12" s="463"/>
      <c r="E12" s="123">
        <f>E7</f>
        <v>521974.87</v>
      </c>
      <c r="F12" s="117" t="s">
        <v>89</v>
      </c>
      <c r="G12" s="161">
        <f>E24+E45+E66-(E12*70%)</f>
        <v>9.9999998928979039E-4</v>
      </c>
      <c r="H12" s="122"/>
      <c r="I12" s="122"/>
      <c r="J12" s="122"/>
      <c r="K12" s="122"/>
    </row>
    <row r="13" spans="1:21" ht="18.75" x14ac:dyDescent="0.3">
      <c r="E13" s="124"/>
      <c r="G13" s="162"/>
      <c r="H13" s="122"/>
      <c r="I13" s="122"/>
      <c r="J13" s="122"/>
      <c r="K13" s="122"/>
    </row>
    <row r="14" spans="1:21" ht="31.5" customHeight="1" x14ac:dyDescent="0.3">
      <c r="A14" s="120"/>
      <c r="B14" s="463" t="s">
        <v>90</v>
      </c>
      <c r="C14" s="463"/>
      <c r="D14" s="463"/>
      <c r="E14" s="143">
        <f>ROUND(U14,4)</f>
        <v>19085.5</v>
      </c>
      <c r="F14" s="117" t="s">
        <v>91</v>
      </c>
      <c r="G14" s="163">
        <f>E22+E43+E64-E14</f>
        <v>0</v>
      </c>
      <c r="H14" s="182">
        <f>H22+H43+H64</f>
        <v>19151</v>
      </c>
      <c r="I14" s="182">
        <f t="shared" ref="I14:S14" si="0">I22+I43+I64</f>
        <v>19151</v>
      </c>
      <c r="J14" s="182">
        <f t="shared" si="0"/>
        <v>19151</v>
      </c>
      <c r="K14" s="182">
        <f t="shared" si="0"/>
        <v>19151</v>
      </c>
      <c r="L14" s="182">
        <f t="shared" si="0"/>
        <v>19146</v>
      </c>
      <c r="M14" s="182">
        <f t="shared" si="0"/>
        <v>19146</v>
      </c>
      <c r="N14" s="182">
        <f t="shared" si="0"/>
        <v>19062</v>
      </c>
      <c r="O14" s="182">
        <f t="shared" si="0"/>
        <v>19062</v>
      </c>
      <c r="P14" s="182">
        <f t="shared" si="0"/>
        <v>19062</v>
      </c>
      <c r="Q14" s="182">
        <f t="shared" si="0"/>
        <v>19062</v>
      </c>
      <c r="R14" s="182">
        <f t="shared" si="0"/>
        <v>18941</v>
      </c>
      <c r="S14" s="182">
        <f t="shared" si="0"/>
        <v>18941</v>
      </c>
      <c r="T14" s="182">
        <f>SUM(H14:S14)</f>
        <v>229026</v>
      </c>
      <c r="U14" s="335">
        <f>T14/12</f>
        <v>19085.5</v>
      </c>
    </row>
    <row r="15" spans="1:21" ht="44.25" customHeight="1" x14ac:dyDescent="0.3">
      <c r="E15" s="124"/>
      <c r="H15" s="184" t="s">
        <v>111</v>
      </c>
      <c r="I15" s="184" t="s">
        <v>172</v>
      </c>
      <c r="J15" s="184" t="s">
        <v>173</v>
      </c>
      <c r="K15" s="184" t="s">
        <v>174</v>
      </c>
      <c r="L15" s="184" t="s">
        <v>114</v>
      </c>
      <c r="M15" s="184" t="s">
        <v>115</v>
      </c>
      <c r="N15" s="184" t="s">
        <v>116</v>
      </c>
      <c r="O15" s="184" t="s">
        <v>117</v>
      </c>
      <c r="P15" s="184" t="s">
        <v>175</v>
      </c>
      <c r="Q15" s="184" t="s">
        <v>176</v>
      </c>
      <c r="R15" s="184" t="s">
        <v>118</v>
      </c>
      <c r="S15" s="184" t="s">
        <v>177</v>
      </c>
      <c r="T15" s="121"/>
      <c r="U15" s="121"/>
    </row>
    <row r="16" spans="1:21" ht="101.25" customHeight="1" x14ac:dyDescent="0.3">
      <c r="B16" s="463" t="s">
        <v>112</v>
      </c>
      <c r="C16" s="463"/>
      <c r="D16" s="463"/>
      <c r="E16" s="167">
        <f>IFERROR(((0.7)*E12)/E14,0)</f>
        <v>19.144502842472033</v>
      </c>
      <c r="F16" s="117" t="s">
        <v>89</v>
      </c>
      <c r="G16" s="117">
        <v>33.966271948901948</v>
      </c>
    </row>
    <row r="17" spans="1:21" ht="30.75" customHeight="1" x14ac:dyDescent="0.25"/>
    <row r="18" spans="1:21" ht="54" customHeight="1" x14ac:dyDescent="0.3">
      <c r="A18" s="464" t="s">
        <v>119</v>
      </c>
      <c r="B18" s="465"/>
      <c r="C18" s="465"/>
      <c r="D18" s="465"/>
      <c r="E18" s="465"/>
      <c r="F18" s="465"/>
    </row>
    <row r="20" spans="1:21" ht="27" customHeight="1" x14ac:dyDescent="0.25">
      <c r="B20" s="120"/>
    </row>
    <row r="21" spans="1:21" x14ac:dyDescent="0.25">
      <c r="A21" s="117" t="s">
        <v>92</v>
      </c>
    </row>
    <row r="22" spans="1:21" ht="28.5" customHeight="1" x14ac:dyDescent="0.3">
      <c r="A22" s="120"/>
      <c r="B22" s="463" t="s">
        <v>109</v>
      </c>
      <c r="C22" s="463"/>
      <c r="D22" s="463"/>
      <c r="E22" s="125">
        <f>ROUND(U22,4)</f>
        <v>0</v>
      </c>
      <c r="F22" s="117" t="s">
        <v>91</v>
      </c>
      <c r="G22" s="153">
        <f>E22-E29-E35</f>
        <v>0</v>
      </c>
      <c r="H22" s="179">
        <f>H29+H35</f>
        <v>0</v>
      </c>
      <c r="I22" s="179">
        <f t="shared" ref="I22:R22" si="1">I29+I35</f>
        <v>0</v>
      </c>
      <c r="J22" s="179">
        <f t="shared" si="1"/>
        <v>0</v>
      </c>
      <c r="K22" s="179">
        <f t="shared" si="1"/>
        <v>0</v>
      </c>
      <c r="L22" s="179">
        <f t="shared" si="1"/>
        <v>0</v>
      </c>
      <c r="M22" s="179">
        <f t="shared" si="1"/>
        <v>0</v>
      </c>
      <c r="N22" s="179">
        <f t="shared" si="1"/>
        <v>0</v>
      </c>
      <c r="O22" s="179">
        <f t="shared" si="1"/>
        <v>0</v>
      </c>
      <c r="P22" s="179">
        <f t="shared" si="1"/>
        <v>0</v>
      </c>
      <c r="Q22" s="179">
        <f t="shared" si="1"/>
        <v>0</v>
      </c>
      <c r="R22" s="179">
        <f t="shared" si="1"/>
        <v>0</v>
      </c>
      <c r="S22" s="179">
        <f>S29+S35</f>
        <v>0</v>
      </c>
      <c r="T22" s="179">
        <f>SUM(H22:S22)</f>
        <v>0</v>
      </c>
      <c r="U22" s="184">
        <f>T22/12</f>
        <v>0</v>
      </c>
    </row>
    <row r="23" spans="1:21" ht="18.75" x14ac:dyDescent="0.3">
      <c r="E23" s="125"/>
      <c r="H23" s="184" t="s">
        <v>111</v>
      </c>
      <c r="I23" s="184" t="s">
        <v>172</v>
      </c>
      <c r="J23" s="184" t="s">
        <v>173</v>
      </c>
      <c r="K23" s="184" t="s">
        <v>174</v>
      </c>
      <c r="L23" s="184" t="s">
        <v>114</v>
      </c>
      <c r="M23" s="184" t="s">
        <v>115</v>
      </c>
      <c r="N23" s="184" t="s">
        <v>116</v>
      </c>
      <c r="O23" s="184" t="s">
        <v>117</v>
      </c>
      <c r="P23" s="184" t="s">
        <v>175</v>
      </c>
      <c r="Q23" s="184" t="s">
        <v>176</v>
      </c>
      <c r="R23" s="184" t="s">
        <v>118</v>
      </c>
      <c r="S23" s="184" t="s">
        <v>177</v>
      </c>
      <c r="T23" s="184"/>
      <c r="U23" s="184"/>
    </row>
    <row r="24" spans="1:21" ht="29.25" customHeight="1" x14ac:dyDescent="0.3">
      <c r="A24" s="120"/>
      <c r="B24" s="463" t="s">
        <v>155</v>
      </c>
      <c r="C24" s="463"/>
      <c r="D24" s="463"/>
      <c r="E24" s="146">
        <f>IFERROR(ROUND($E$16*E22,2),0)</f>
        <v>0</v>
      </c>
      <c r="F24" s="117" t="s">
        <v>89</v>
      </c>
      <c r="G24" s="144">
        <f>E24-E31-E37</f>
        <v>0</v>
      </c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</row>
    <row r="25" spans="1:21" ht="15.75" customHeight="1" x14ac:dyDescent="0.25">
      <c r="A25" s="127" t="s">
        <v>93</v>
      </c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</row>
    <row r="26" spans="1:21" ht="14.25" customHeight="1" x14ac:dyDescent="0.25">
      <c r="A26" s="128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</row>
    <row r="27" spans="1:21" s="131" customFormat="1" ht="24" customHeight="1" x14ac:dyDescent="0.35">
      <c r="A27" s="129" t="s">
        <v>94</v>
      </c>
      <c r="B27" s="130"/>
      <c r="C27" s="130"/>
      <c r="D27" s="130"/>
      <c r="E27" s="130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</row>
    <row r="28" spans="1:21" ht="12.75" customHeight="1" x14ac:dyDescent="0.25"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</row>
    <row r="29" spans="1:21" ht="47.25" customHeight="1" x14ac:dyDescent="0.3">
      <c r="A29" s="133" t="s">
        <v>95</v>
      </c>
      <c r="B29" s="463" t="s">
        <v>166</v>
      </c>
      <c r="C29" s="463"/>
      <c r="D29" s="463"/>
      <c r="E29" s="134">
        <f>ROUND(U29,4)</f>
        <v>0</v>
      </c>
      <c r="F29" s="117" t="s">
        <v>91</v>
      </c>
      <c r="H29" s="178">
        <v>0</v>
      </c>
      <c r="I29" s="178">
        <v>0</v>
      </c>
      <c r="J29" s="178">
        <v>0</v>
      </c>
      <c r="K29" s="178">
        <v>0</v>
      </c>
      <c r="L29" s="178">
        <v>0</v>
      </c>
      <c r="M29" s="178">
        <v>0</v>
      </c>
      <c r="N29" s="178">
        <v>0</v>
      </c>
      <c r="O29" s="178">
        <v>0</v>
      </c>
      <c r="P29" s="178">
        <v>0</v>
      </c>
      <c r="Q29" s="178">
        <v>0</v>
      </c>
      <c r="R29" s="178">
        <v>0</v>
      </c>
      <c r="S29" s="178">
        <v>0</v>
      </c>
      <c r="T29" s="178">
        <f>SUM(H29:S29)</f>
        <v>0</v>
      </c>
      <c r="U29" s="176">
        <f>T29/12</f>
        <v>0</v>
      </c>
    </row>
    <row r="30" spans="1:21" ht="18.75" x14ac:dyDescent="0.3">
      <c r="E30" s="125"/>
      <c r="H30" s="126">
        <v>18361</v>
      </c>
      <c r="I30" s="126">
        <v>18361</v>
      </c>
      <c r="J30" s="126">
        <v>18361</v>
      </c>
      <c r="K30" s="126">
        <v>18361</v>
      </c>
      <c r="L30" s="126">
        <v>18132</v>
      </c>
      <c r="M30" s="126">
        <v>18132</v>
      </c>
      <c r="N30" s="126">
        <v>18091</v>
      </c>
      <c r="O30" s="126">
        <v>18091</v>
      </c>
      <c r="P30" s="126">
        <v>18091</v>
      </c>
      <c r="Q30" s="126">
        <v>18091</v>
      </c>
      <c r="R30" s="126">
        <v>17965</v>
      </c>
      <c r="S30" s="126">
        <v>17965</v>
      </c>
      <c r="T30" s="126">
        <f>SUM(H30:S30)</f>
        <v>218002</v>
      </c>
      <c r="U30" s="117">
        <f>T30/12</f>
        <v>18166.833333333332</v>
      </c>
    </row>
    <row r="31" spans="1:21" ht="45.75" customHeight="1" x14ac:dyDescent="0.35">
      <c r="A31" s="135" t="s">
        <v>96</v>
      </c>
      <c r="B31" s="463" t="s">
        <v>97</v>
      </c>
      <c r="C31" s="463"/>
      <c r="D31" s="463"/>
      <c r="E31" s="145">
        <f>IFERROR(ROUND($E$16*E29,2),0)</f>
        <v>0</v>
      </c>
      <c r="F31" s="117" t="s">
        <v>89</v>
      </c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1:21" x14ac:dyDescent="0.25"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1" s="131" customFormat="1" ht="25.5" customHeight="1" x14ac:dyDescent="0.35">
      <c r="A33" s="129" t="s">
        <v>128</v>
      </c>
      <c r="B33" s="130"/>
      <c r="C33" s="130"/>
      <c r="D33" s="130"/>
      <c r="E33" s="130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</row>
    <row r="34" spans="1:21" ht="9" customHeight="1" x14ac:dyDescent="0.25"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</row>
    <row r="35" spans="1:21" ht="61.5" customHeight="1" x14ac:dyDescent="0.3">
      <c r="A35" s="133" t="s">
        <v>95</v>
      </c>
      <c r="B35" s="463" t="s">
        <v>164</v>
      </c>
      <c r="C35" s="463"/>
      <c r="D35" s="463"/>
      <c r="E35" s="154">
        <f>ROUND(U35,4)</f>
        <v>0</v>
      </c>
      <c r="F35" s="117" t="s">
        <v>91</v>
      </c>
      <c r="H35" s="178">
        <v>0</v>
      </c>
      <c r="I35" s="178">
        <v>0</v>
      </c>
      <c r="J35" s="178">
        <v>0</v>
      </c>
      <c r="K35" s="178">
        <v>0</v>
      </c>
      <c r="L35" s="178">
        <v>0</v>
      </c>
      <c r="M35" s="178">
        <v>0</v>
      </c>
      <c r="N35" s="178">
        <v>0</v>
      </c>
      <c r="O35" s="178">
        <v>0</v>
      </c>
      <c r="P35" s="178">
        <v>0</v>
      </c>
      <c r="Q35" s="178">
        <v>0</v>
      </c>
      <c r="R35" s="178">
        <v>0</v>
      </c>
      <c r="S35" s="178">
        <v>0</v>
      </c>
      <c r="T35" s="178">
        <f>SUM(H35:S35)</f>
        <v>0</v>
      </c>
      <c r="U35" s="176">
        <f>T35/12</f>
        <v>0</v>
      </c>
    </row>
    <row r="36" spans="1:21" x14ac:dyDescent="0.25">
      <c r="H36" s="117">
        <v>2043</v>
      </c>
      <c r="I36" s="117">
        <v>2043</v>
      </c>
      <c r="J36" s="117">
        <v>2043</v>
      </c>
      <c r="K36" s="117">
        <v>2043</v>
      </c>
      <c r="L36" s="117">
        <v>2016</v>
      </c>
      <c r="M36" s="117">
        <v>2016</v>
      </c>
      <c r="N36" s="117">
        <v>2021</v>
      </c>
      <c r="O36" s="117">
        <v>2021</v>
      </c>
      <c r="P36" s="117">
        <v>2021</v>
      </c>
      <c r="Q36" s="117">
        <v>2021</v>
      </c>
      <c r="R36" s="117">
        <v>2001</v>
      </c>
      <c r="S36" s="117">
        <v>2001</v>
      </c>
      <c r="T36" s="117">
        <v>24290</v>
      </c>
      <c r="U36" s="117">
        <v>2024.1666666666667</v>
      </c>
    </row>
    <row r="37" spans="1:21" ht="45.75" customHeight="1" x14ac:dyDescent="0.35">
      <c r="A37" s="135" t="s">
        <v>96</v>
      </c>
      <c r="B37" s="463" t="s">
        <v>165</v>
      </c>
      <c r="C37" s="463"/>
      <c r="D37" s="463"/>
      <c r="E37" s="145">
        <f>IFERROR(ROUND($E$16*E35,2),0)</f>
        <v>0</v>
      </c>
      <c r="F37" s="117" t="s">
        <v>89</v>
      </c>
      <c r="H37" s="122"/>
      <c r="I37" s="122"/>
      <c r="J37" s="122"/>
      <c r="K37" s="122"/>
    </row>
    <row r="38" spans="1:21" s="150" customFormat="1" ht="45.75" customHeight="1" x14ac:dyDescent="0.35">
      <c r="A38" s="147"/>
      <c r="B38" s="148"/>
      <c r="C38" s="148"/>
      <c r="D38" s="148"/>
      <c r="E38" s="149"/>
      <c r="H38" s="151"/>
      <c r="I38" s="151"/>
      <c r="J38" s="151"/>
      <c r="K38" s="151"/>
    </row>
    <row r="39" spans="1:21" ht="54" customHeight="1" x14ac:dyDescent="0.3">
      <c r="A39" s="464" t="s">
        <v>120</v>
      </c>
      <c r="B39" s="465"/>
      <c r="C39" s="465"/>
      <c r="D39" s="465"/>
      <c r="E39" s="465"/>
      <c r="F39" s="465"/>
    </row>
    <row r="41" spans="1:21" ht="27" customHeight="1" x14ac:dyDescent="0.25">
      <c r="B41" s="120"/>
    </row>
    <row r="42" spans="1:21" x14ac:dyDescent="0.25">
      <c r="A42" s="117" t="s">
        <v>92</v>
      </c>
    </row>
    <row r="43" spans="1:21" ht="28.5" customHeight="1" x14ac:dyDescent="0.3">
      <c r="A43" s="120"/>
      <c r="B43" s="463" t="s">
        <v>109</v>
      </c>
      <c r="C43" s="463"/>
      <c r="D43" s="463"/>
      <c r="E43" s="152">
        <f>ROUND(U43,4)</f>
        <v>19085.5</v>
      </c>
      <c r="F43" s="117" t="s">
        <v>91</v>
      </c>
      <c r="G43" s="153">
        <f>E43-E50-E56</f>
        <v>0</v>
      </c>
      <c r="H43" s="182">
        <f>H50+H56</f>
        <v>19151</v>
      </c>
      <c r="I43" s="182">
        <f t="shared" ref="I43:T43" si="2">I50+I56</f>
        <v>19151</v>
      </c>
      <c r="J43" s="182">
        <f t="shared" si="2"/>
        <v>19151</v>
      </c>
      <c r="K43" s="182">
        <f t="shared" si="2"/>
        <v>19151</v>
      </c>
      <c r="L43" s="182">
        <f t="shared" si="2"/>
        <v>19146</v>
      </c>
      <c r="M43" s="182">
        <f t="shared" si="2"/>
        <v>19146</v>
      </c>
      <c r="N43" s="182">
        <f t="shared" si="2"/>
        <v>19062</v>
      </c>
      <c r="O43" s="182">
        <f t="shared" si="2"/>
        <v>19062</v>
      </c>
      <c r="P43" s="182">
        <f t="shared" si="2"/>
        <v>19062</v>
      </c>
      <c r="Q43" s="182">
        <f t="shared" si="2"/>
        <v>19062</v>
      </c>
      <c r="R43" s="182">
        <f t="shared" si="2"/>
        <v>18941</v>
      </c>
      <c r="S43" s="182">
        <f t="shared" si="2"/>
        <v>18941</v>
      </c>
      <c r="T43" s="182">
        <f t="shared" si="2"/>
        <v>229026</v>
      </c>
      <c r="U43" s="335">
        <f>T43/12</f>
        <v>19085.5</v>
      </c>
    </row>
    <row r="44" spans="1:21" ht="18.75" x14ac:dyDescent="0.3">
      <c r="E44" s="125"/>
      <c r="H44" s="184" t="s">
        <v>111</v>
      </c>
      <c r="I44" s="184" t="s">
        <v>172</v>
      </c>
      <c r="J44" s="184" t="s">
        <v>173</v>
      </c>
      <c r="K44" s="184" t="s">
        <v>174</v>
      </c>
      <c r="L44" s="184" t="s">
        <v>114</v>
      </c>
      <c r="M44" s="184" t="s">
        <v>115</v>
      </c>
      <c r="N44" s="184" t="s">
        <v>116</v>
      </c>
      <c r="O44" s="184" t="s">
        <v>117</v>
      </c>
      <c r="P44" s="184" t="s">
        <v>175</v>
      </c>
      <c r="Q44" s="184" t="s">
        <v>176</v>
      </c>
      <c r="R44" s="184" t="s">
        <v>118</v>
      </c>
      <c r="S44" s="184" t="s">
        <v>177</v>
      </c>
      <c r="T44" s="121"/>
      <c r="U44" s="121"/>
    </row>
    <row r="45" spans="1:21" ht="29.25" customHeight="1" x14ac:dyDescent="0.3">
      <c r="A45" s="120"/>
      <c r="B45" s="463" t="s">
        <v>113</v>
      </c>
      <c r="C45" s="463"/>
      <c r="D45" s="463"/>
      <c r="E45" s="146">
        <f>IFERROR(ROUND($E$16*E43,2),0)</f>
        <v>365382.41</v>
      </c>
      <c r="F45" s="117" t="s">
        <v>89</v>
      </c>
      <c r="G45" s="144">
        <f>E45-E52-E58</f>
        <v>0</v>
      </c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1:21" ht="15.75" customHeight="1" x14ac:dyDescent="0.25">
      <c r="A46" s="127" t="s">
        <v>93</v>
      </c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1:21" ht="14.25" customHeight="1" x14ac:dyDescent="0.25">
      <c r="A47" s="128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1:21" s="131" customFormat="1" ht="24" customHeight="1" x14ac:dyDescent="0.35">
      <c r="A48" s="129" t="s">
        <v>94</v>
      </c>
      <c r="B48" s="130"/>
      <c r="C48" s="130"/>
      <c r="D48" s="130"/>
      <c r="E48" s="130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</row>
    <row r="49" spans="1:21" ht="12.75" customHeight="1" x14ac:dyDescent="0.25"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:21" ht="66.75" customHeight="1" x14ac:dyDescent="0.3">
      <c r="A50" s="133" t="s">
        <v>95</v>
      </c>
      <c r="B50" s="463" t="s">
        <v>160</v>
      </c>
      <c r="C50" s="463"/>
      <c r="D50" s="463"/>
      <c r="E50" s="134">
        <f>ROUND(U50,4)</f>
        <v>17749.166700000002</v>
      </c>
      <c r="F50" s="117" t="s">
        <v>91</v>
      </c>
      <c r="H50" s="178">
        <v>17827</v>
      </c>
      <c r="I50" s="178">
        <v>17827</v>
      </c>
      <c r="J50" s="178">
        <v>17827</v>
      </c>
      <c r="K50" s="178">
        <v>17827</v>
      </c>
      <c r="L50" s="178">
        <v>17800</v>
      </c>
      <c r="M50" s="178">
        <v>17800</v>
      </c>
      <c r="N50" s="178">
        <v>17719</v>
      </c>
      <c r="O50" s="178">
        <v>17719</v>
      </c>
      <c r="P50" s="178">
        <v>17719</v>
      </c>
      <c r="Q50" s="178">
        <v>17719</v>
      </c>
      <c r="R50" s="178">
        <v>17603</v>
      </c>
      <c r="S50" s="178">
        <v>17603</v>
      </c>
      <c r="T50" s="178">
        <f>SUM(H50:S50)</f>
        <v>212990</v>
      </c>
      <c r="U50" s="176">
        <f>T50/12</f>
        <v>17749.166666666668</v>
      </c>
    </row>
    <row r="51" spans="1:21" ht="18.75" x14ac:dyDescent="0.3">
      <c r="E51" s="125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:21" ht="45.75" customHeight="1" x14ac:dyDescent="0.35">
      <c r="A52" s="135" t="s">
        <v>96</v>
      </c>
      <c r="B52" s="463" t="s">
        <v>163</v>
      </c>
      <c r="C52" s="463"/>
      <c r="D52" s="463"/>
      <c r="E52" s="145">
        <f>IFERROR(ROUND($E$16*E50,2),0)</f>
        <v>339798.97</v>
      </c>
      <c r="F52" s="117" t="s">
        <v>89</v>
      </c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1" x14ac:dyDescent="0.25"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1" s="131" customFormat="1" ht="25.5" customHeight="1" x14ac:dyDescent="0.35">
      <c r="A54" s="129" t="s">
        <v>128</v>
      </c>
      <c r="B54" s="130"/>
      <c r="C54" s="130"/>
      <c r="D54" s="130"/>
      <c r="E54" s="130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</row>
    <row r="55" spans="1:21" ht="9" customHeight="1" x14ac:dyDescent="0.25"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  <row r="56" spans="1:21" ht="61.5" customHeight="1" x14ac:dyDescent="0.3">
      <c r="A56" s="133" t="s">
        <v>95</v>
      </c>
      <c r="B56" s="463" t="s">
        <v>161</v>
      </c>
      <c r="C56" s="463"/>
      <c r="D56" s="463"/>
      <c r="E56" s="134">
        <f>ROUND(U56,4)</f>
        <v>1336.3333</v>
      </c>
      <c r="F56" s="117" t="s">
        <v>91</v>
      </c>
      <c r="H56" s="178">
        <v>1324</v>
      </c>
      <c r="I56" s="178">
        <v>1324</v>
      </c>
      <c r="J56" s="178">
        <v>1324</v>
      </c>
      <c r="K56" s="178">
        <v>1324</v>
      </c>
      <c r="L56" s="178">
        <v>1346</v>
      </c>
      <c r="M56" s="178">
        <v>1346</v>
      </c>
      <c r="N56" s="178">
        <v>1343</v>
      </c>
      <c r="O56" s="178">
        <v>1343</v>
      </c>
      <c r="P56" s="178">
        <v>1343</v>
      </c>
      <c r="Q56" s="178">
        <v>1343</v>
      </c>
      <c r="R56" s="178">
        <v>1338</v>
      </c>
      <c r="S56" s="178">
        <v>1338</v>
      </c>
      <c r="T56" s="178">
        <f>SUM(H56:S56)</f>
        <v>16036</v>
      </c>
      <c r="U56" s="176">
        <f>T56/12</f>
        <v>1336.3333333333333</v>
      </c>
    </row>
    <row r="58" spans="1:21" ht="45.75" customHeight="1" x14ac:dyDescent="0.35">
      <c r="A58" s="135" t="s">
        <v>96</v>
      </c>
      <c r="B58" s="463" t="s">
        <v>162</v>
      </c>
      <c r="C58" s="463"/>
      <c r="D58" s="463"/>
      <c r="E58" s="145">
        <f>IFERROR(ROUND($E$16*E56,2),0)</f>
        <v>25583.439999999999</v>
      </c>
      <c r="F58" s="117" t="s">
        <v>89</v>
      </c>
      <c r="H58" s="122"/>
      <c r="I58" s="122"/>
      <c r="J58" s="122"/>
      <c r="K58" s="122"/>
    </row>
    <row r="59" spans="1:21" ht="25.5" customHeight="1" x14ac:dyDescent="0.25"/>
    <row r="60" spans="1:21" ht="54" customHeight="1" x14ac:dyDescent="0.3">
      <c r="A60" s="464" t="s">
        <v>121</v>
      </c>
      <c r="B60" s="465"/>
      <c r="C60" s="465"/>
      <c r="D60" s="465"/>
      <c r="E60" s="465"/>
      <c r="F60" s="465"/>
    </row>
    <row r="62" spans="1:21" ht="27" customHeight="1" x14ac:dyDescent="0.25">
      <c r="B62" s="120"/>
    </row>
    <row r="63" spans="1:21" x14ac:dyDescent="0.25">
      <c r="A63" s="117" t="s">
        <v>92</v>
      </c>
    </row>
    <row r="64" spans="1:21" ht="28.5" customHeight="1" x14ac:dyDescent="0.3">
      <c r="A64" s="120"/>
      <c r="B64" s="463" t="s">
        <v>109</v>
      </c>
      <c r="C64" s="463"/>
      <c r="D64" s="463"/>
      <c r="E64" s="152">
        <f>ROUND(U64,4)</f>
        <v>0</v>
      </c>
      <c r="F64" s="117" t="s">
        <v>91</v>
      </c>
      <c r="G64" s="153">
        <f>E64-E71-E77</f>
        <v>0</v>
      </c>
      <c r="H64" s="179">
        <f>H71+H77</f>
        <v>0</v>
      </c>
      <c r="I64" s="179">
        <f t="shared" ref="I64:R64" si="3">I71+I77</f>
        <v>0</v>
      </c>
      <c r="J64" s="179">
        <f t="shared" si="3"/>
        <v>0</v>
      </c>
      <c r="K64" s="179">
        <f t="shared" si="3"/>
        <v>0</v>
      </c>
      <c r="L64" s="179">
        <f t="shared" si="3"/>
        <v>0</v>
      </c>
      <c r="M64" s="179">
        <f t="shared" si="3"/>
        <v>0</v>
      </c>
      <c r="N64" s="179">
        <f t="shared" si="3"/>
        <v>0</v>
      </c>
      <c r="O64" s="179">
        <f t="shared" si="3"/>
        <v>0</v>
      </c>
      <c r="P64" s="179">
        <f t="shared" si="3"/>
        <v>0</v>
      </c>
      <c r="Q64" s="179">
        <f t="shared" si="3"/>
        <v>0</v>
      </c>
      <c r="R64" s="179">
        <f t="shared" si="3"/>
        <v>0</v>
      </c>
      <c r="S64" s="179">
        <f>S71+S77</f>
        <v>0</v>
      </c>
      <c r="T64" s="179">
        <f>SUM(H64:S64)</f>
        <v>0</v>
      </c>
      <c r="U64" s="184">
        <f>T64/12</f>
        <v>0</v>
      </c>
    </row>
    <row r="65" spans="1:21" ht="18.75" x14ac:dyDescent="0.3">
      <c r="E65" s="125"/>
      <c r="H65" s="184" t="s">
        <v>111</v>
      </c>
      <c r="I65" s="184" t="s">
        <v>172</v>
      </c>
      <c r="J65" s="184" t="s">
        <v>173</v>
      </c>
      <c r="K65" s="184" t="s">
        <v>174</v>
      </c>
      <c r="L65" s="184" t="s">
        <v>114</v>
      </c>
      <c r="M65" s="184" t="s">
        <v>115</v>
      </c>
      <c r="N65" s="184" t="s">
        <v>116</v>
      </c>
      <c r="O65" s="184" t="s">
        <v>117</v>
      </c>
      <c r="P65" s="184" t="s">
        <v>175</v>
      </c>
      <c r="Q65" s="184" t="s">
        <v>176</v>
      </c>
      <c r="R65" s="184" t="s">
        <v>118</v>
      </c>
      <c r="S65" s="184" t="s">
        <v>177</v>
      </c>
      <c r="T65" s="184"/>
      <c r="U65" s="184"/>
    </row>
    <row r="66" spans="1:21" ht="29.25" customHeight="1" x14ac:dyDescent="0.3">
      <c r="A66" s="120"/>
      <c r="B66" s="463" t="s">
        <v>113</v>
      </c>
      <c r="C66" s="463"/>
      <c r="D66" s="463"/>
      <c r="E66" s="146">
        <f>IFERROR(ROUND($E$16*E64,2),0)</f>
        <v>0</v>
      </c>
      <c r="F66" s="117" t="s">
        <v>89</v>
      </c>
      <c r="G66" s="144">
        <f>E66-E73-E79</f>
        <v>0</v>
      </c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</row>
    <row r="67" spans="1:21" ht="15.75" customHeight="1" x14ac:dyDescent="0.25">
      <c r="A67" s="127" t="s">
        <v>93</v>
      </c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</row>
    <row r="68" spans="1:21" ht="14.25" customHeight="1" x14ac:dyDescent="0.25">
      <c r="A68" s="128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</row>
    <row r="69" spans="1:21" s="131" customFormat="1" ht="24" customHeight="1" x14ac:dyDescent="0.35">
      <c r="A69" s="129" t="s">
        <v>94</v>
      </c>
      <c r="B69" s="130"/>
      <c r="C69" s="130"/>
      <c r="D69" s="130"/>
      <c r="E69" s="130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</row>
    <row r="70" spans="1:21" ht="12.75" customHeight="1" x14ac:dyDescent="0.25"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</row>
    <row r="71" spans="1:21" ht="47.25" customHeight="1" x14ac:dyDescent="0.3">
      <c r="A71" s="133" t="s">
        <v>95</v>
      </c>
      <c r="B71" s="463" t="s">
        <v>157</v>
      </c>
      <c r="C71" s="463"/>
      <c r="D71" s="463"/>
      <c r="E71" s="134">
        <f>ROUND(U71,4)</f>
        <v>0</v>
      </c>
      <c r="F71" s="117" t="s">
        <v>91</v>
      </c>
      <c r="H71" s="178">
        <v>0</v>
      </c>
      <c r="I71" s="178">
        <v>0</v>
      </c>
      <c r="J71" s="178">
        <v>0</v>
      </c>
      <c r="K71" s="178">
        <v>0</v>
      </c>
      <c r="L71" s="178">
        <v>0</v>
      </c>
      <c r="M71" s="178">
        <v>0</v>
      </c>
      <c r="N71" s="178">
        <v>0</v>
      </c>
      <c r="O71" s="178">
        <v>0</v>
      </c>
      <c r="P71" s="178">
        <v>0</v>
      </c>
      <c r="Q71" s="178">
        <v>0</v>
      </c>
      <c r="R71" s="178">
        <v>0</v>
      </c>
      <c r="S71" s="178">
        <v>0</v>
      </c>
      <c r="T71" s="178">
        <f>SUM(H71:S71)</f>
        <v>0</v>
      </c>
      <c r="U71" s="176">
        <f>T71/12</f>
        <v>0</v>
      </c>
    </row>
    <row r="72" spans="1:21" ht="18.75" x14ac:dyDescent="0.3">
      <c r="E72" s="125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</row>
    <row r="73" spans="1:21" ht="45.75" customHeight="1" x14ac:dyDescent="0.35">
      <c r="A73" s="135" t="s">
        <v>96</v>
      </c>
      <c r="B73" s="463" t="s">
        <v>158</v>
      </c>
      <c r="C73" s="463"/>
      <c r="D73" s="463"/>
      <c r="E73" s="145">
        <f>IFERROR(ROUND($E$16*E71,2),0)</f>
        <v>0</v>
      </c>
      <c r="F73" s="117" t="s">
        <v>89</v>
      </c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</row>
    <row r="74" spans="1:21" x14ac:dyDescent="0.25"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</row>
    <row r="75" spans="1:21" s="131" customFormat="1" ht="25.5" customHeight="1" x14ac:dyDescent="0.35">
      <c r="A75" s="129" t="s">
        <v>128</v>
      </c>
      <c r="B75" s="130"/>
      <c r="C75" s="130"/>
      <c r="D75" s="130"/>
      <c r="E75" s="130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</row>
    <row r="76" spans="1:21" ht="9" customHeight="1" x14ac:dyDescent="0.25"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</row>
    <row r="77" spans="1:21" ht="61.5" customHeight="1" x14ac:dyDescent="0.3">
      <c r="A77" s="133" t="s">
        <v>95</v>
      </c>
      <c r="B77" s="463" t="s">
        <v>156</v>
      </c>
      <c r="C77" s="463"/>
      <c r="D77" s="463"/>
      <c r="E77" s="134">
        <f>ROUND(U77,4)</f>
        <v>0</v>
      </c>
      <c r="F77" s="117" t="s">
        <v>91</v>
      </c>
      <c r="H77" s="178">
        <v>0</v>
      </c>
      <c r="I77" s="178">
        <v>0</v>
      </c>
      <c r="J77" s="178">
        <v>0</v>
      </c>
      <c r="K77" s="178">
        <v>0</v>
      </c>
      <c r="L77" s="178">
        <v>0</v>
      </c>
      <c r="M77" s="178">
        <v>0</v>
      </c>
      <c r="N77" s="178">
        <v>0</v>
      </c>
      <c r="O77" s="178">
        <v>0</v>
      </c>
      <c r="P77" s="178">
        <v>0</v>
      </c>
      <c r="Q77" s="178">
        <v>0</v>
      </c>
      <c r="R77" s="178">
        <v>0</v>
      </c>
      <c r="S77" s="178">
        <v>0</v>
      </c>
      <c r="T77" s="178">
        <f>SUM(H77:S77)</f>
        <v>0</v>
      </c>
      <c r="U77" s="176">
        <f>T77/12</f>
        <v>0</v>
      </c>
    </row>
    <row r="79" spans="1:21" ht="45.75" customHeight="1" x14ac:dyDescent="0.35">
      <c r="A79" s="135" t="s">
        <v>96</v>
      </c>
      <c r="B79" s="463" t="s">
        <v>159</v>
      </c>
      <c r="C79" s="463"/>
      <c r="D79" s="463"/>
      <c r="E79" s="145">
        <f>IFERROR(ROUND($E$16*E77,2),0)</f>
        <v>0</v>
      </c>
      <c r="F79" s="117" t="s">
        <v>89</v>
      </c>
      <c r="H79" s="122"/>
      <c r="I79" s="122"/>
      <c r="J79" s="122"/>
      <c r="K79" s="122"/>
    </row>
    <row r="80" spans="1:21" ht="45.75" customHeight="1" x14ac:dyDescent="0.35">
      <c r="A80" s="135"/>
      <c r="B80" s="137"/>
      <c r="C80" s="137"/>
      <c r="D80" s="137"/>
      <c r="E80" s="145"/>
      <c r="H80" s="122"/>
      <c r="I80" s="122"/>
      <c r="J80" s="122"/>
      <c r="K80" s="122"/>
    </row>
    <row r="81" spans="1:6" ht="50.25" customHeight="1" x14ac:dyDescent="0.3">
      <c r="A81" s="118" t="s">
        <v>124</v>
      </c>
      <c r="B81" s="458" t="s">
        <v>98</v>
      </c>
      <c r="C81" s="458"/>
      <c r="D81" s="458"/>
      <c r="E81" s="458"/>
      <c r="F81" s="458"/>
    </row>
    <row r="83" spans="1:6" ht="33" customHeight="1" x14ac:dyDescent="0.25">
      <c r="A83" s="468" t="s">
        <v>99</v>
      </c>
      <c r="B83" s="471"/>
      <c r="C83" s="471"/>
      <c r="D83" s="471"/>
      <c r="E83" s="471"/>
      <c r="F83" s="471"/>
    </row>
    <row r="85" spans="1:6" ht="36.75" customHeight="1" x14ac:dyDescent="0.25">
      <c r="B85" s="120"/>
    </row>
    <row r="87" spans="1:6" ht="45.75" customHeight="1" x14ac:dyDescent="0.3">
      <c r="A87" s="120"/>
      <c r="B87" s="463" t="s">
        <v>110</v>
      </c>
      <c r="C87" s="463"/>
      <c r="D87" s="463"/>
      <c r="E87" s="123">
        <f>E7</f>
        <v>521974.87</v>
      </c>
      <c r="F87" s="117" t="s">
        <v>89</v>
      </c>
    </row>
    <row r="89" spans="1:6" ht="31.5" customHeight="1" x14ac:dyDescent="0.25">
      <c r="A89" s="136" t="s">
        <v>100</v>
      </c>
      <c r="B89" s="463" t="s">
        <v>101</v>
      </c>
      <c r="C89" s="463"/>
      <c r="D89" s="463"/>
      <c r="E89" s="126">
        <f>МОЦОМиД!U42</f>
        <v>2</v>
      </c>
      <c r="F89" s="117" t="s">
        <v>147</v>
      </c>
    </row>
    <row r="91" spans="1:6" x14ac:dyDescent="0.25">
      <c r="A91" s="120"/>
    </row>
    <row r="92" spans="1:6" ht="63" customHeight="1" x14ac:dyDescent="0.3">
      <c r="A92" s="120"/>
      <c r="B92" s="463" t="s">
        <v>102</v>
      </c>
      <c r="C92" s="463"/>
      <c r="D92" s="463"/>
      <c r="E92" s="123">
        <f>IFERROR(ROUND(E87*30%/E89,2),0)</f>
        <v>78296.23</v>
      </c>
      <c r="F92" s="117" t="s">
        <v>89</v>
      </c>
    </row>
    <row r="94" spans="1:6" ht="49.5" customHeight="1" x14ac:dyDescent="0.25">
      <c r="A94" s="468" t="s">
        <v>103</v>
      </c>
      <c r="B94" s="468"/>
      <c r="C94" s="468"/>
      <c r="D94" s="468"/>
      <c r="E94" s="468"/>
      <c r="F94" s="468"/>
    </row>
    <row r="96" spans="1:6" ht="32.25" customHeight="1" x14ac:dyDescent="0.25">
      <c r="B96" s="120"/>
    </row>
    <row r="98" spans="1:21" ht="21.75" customHeight="1" x14ac:dyDescent="0.25">
      <c r="A98" s="120"/>
      <c r="B98" s="117" t="s">
        <v>104</v>
      </c>
    </row>
    <row r="101" spans="1:21" ht="60.75" customHeight="1" x14ac:dyDescent="0.25">
      <c r="A101" s="469" t="s">
        <v>105</v>
      </c>
      <c r="B101" s="470"/>
      <c r="C101" s="470"/>
      <c r="D101" s="470"/>
      <c r="E101" s="470"/>
      <c r="F101" s="470"/>
    </row>
    <row r="102" spans="1:21" ht="17.25" customHeight="1" x14ac:dyDescent="0.25">
      <c r="A102" s="139"/>
      <c r="B102" s="140"/>
      <c r="C102" s="140"/>
      <c r="D102" s="140"/>
      <c r="E102" s="140"/>
      <c r="F102" s="140"/>
    </row>
    <row r="103" spans="1:21" ht="63.75" customHeight="1" x14ac:dyDescent="0.25">
      <c r="A103" s="467" t="s">
        <v>149</v>
      </c>
      <c r="B103" s="467"/>
      <c r="C103" s="467"/>
      <c r="D103" s="467"/>
      <c r="E103" s="467"/>
      <c r="F103" s="467"/>
    </row>
    <row r="105" spans="1:21" ht="54" customHeight="1" x14ac:dyDescent="0.3">
      <c r="A105" s="464" t="s">
        <v>211</v>
      </c>
      <c r="B105" s="465"/>
      <c r="C105" s="465"/>
      <c r="D105" s="465"/>
      <c r="E105" s="465"/>
      <c r="F105" s="465"/>
    </row>
    <row r="107" spans="1:21" ht="27" customHeight="1" x14ac:dyDescent="0.3">
      <c r="B107" s="466" t="s">
        <v>154</v>
      </c>
      <c r="C107" s="466"/>
    </row>
    <row r="108" spans="1:21" x14ac:dyDescent="0.25">
      <c r="A108" s="117" t="s">
        <v>92</v>
      </c>
    </row>
    <row r="109" spans="1:21" ht="36" customHeight="1" x14ac:dyDescent="0.3">
      <c r="A109" s="166" t="s">
        <v>167</v>
      </c>
      <c r="B109" s="463" t="s">
        <v>150</v>
      </c>
      <c r="C109" s="463"/>
      <c r="D109" s="463"/>
      <c r="E109" s="146">
        <f>ROUND(E87*0.3,2)</f>
        <v>156592.46</v>
      </c>
      <c r="F109" s="117" t="s">
        <v>89</v>
      </c>
      <c r="G109" s="144">
        <f>E109-E120-E126</f>
        <v>0</v>
      </c>
    </row>
    <row r="110" spans="1:21" ht="9" customHeight="1" x14ac:dyDescent="0.3">
      <c r="A110" s="166"/>
      <c r="B110" s="191"/>
      <c r="C110" s="191"/>
      <c r="D110" s="191"/>
      <c r="E110" s="146"/>
    </row>
    <row r="111" spans="1:21" ht="28.5" customHeight="1" x14ac:dyDescent="0.3">
      <c r="A111" s="166" t="s">
        <v>152</v>
      </c>
      <c r="B111" s="463" t="s">
        <v>109</v>
      </c>
      <c r="C111" s="463"/>
      <c r="D111" s="463"/>
      <c r="E111" s="169">
        <f>ROUND(U111,4)</f>
        <v>19085.5</v>
      </c>
      <c r="F111" s="117" t="s">
        <v>91</v>
      </c>
      <c r="G111" s="153">
        <f>E111-E118-E124</f>
        <v>0</v>
      </c>
      <c r="H111" s="183">
        <f>H118+H124</f>
        <v>19151</v>
      </c>
      <c r="I111" s="183">
        <f t="shared" ref="I111:S111" si="4">I118+I124</f>
        <v>19151</v>
      </c>
      <c r="J111" s="183">
        <f t="shared" si="4"/>
        <v>19151</v>
      </c>
      <c r="K111" s="183">
        <f t="shared" si="4"/>
        <v>19151</v>
      </c>
      <c r="L111" s="183">
        <f t="shared" si="4"/>
        <v>19146</v>
      </c>
      <c r="M111" s="183">
        <f t="shared" si="4"/>
        <v>19146</v>
      </c>
      <c r="N111" s="183">
        <f t="shared" si="4"/>
        <v>19062</v>
      </c>
      <c r="O111" s="183">
        <f t="shared" si="4"/>
        <v>19062</v>
      </c>
      <c r="P111" s="183">
        <f t="shared" si="4"/>
        <v>19062</v>
      </c>
      <c r="Q111" s="183">
        <f t="shared" si="4"/>
        <v>19062</v>
      </c>
      <c r="R111" s="183">
        <f t="shared" si="4"/>
        <v>18941</v>
      </c>
      <c r="S111" s="183">
        <f t="shared" si="4"/>
        <v>18941</v>
      </c>
      <c r="T111" s="185">
        <f>H111*4+L111*2+N111*4+R111*2</f>
        <v>229026</v>
      </c>
      <c r="U111" s="177">
        <f>T111/12</f>
        <v>19085.5</v>
      </c>
    </row>
    <row r="112" spans="1:21" ht="14.25" customHeight="1" x14ac:dyDescent="0.3">
      <c r="E112" s="125"/>
      <c r="H112" s="184" t="s">
        <v>111</v>
      </c>
      <c r="I112" s="184" t="s">
        <v>172</v>
      </c>
      <c r="J112" s="184" t="s">
        <v>173</v>
      </c>
      <c r="K112" s="184" t="s">
        <v>174</v>
      </c>
      <c r="L112" s="184" t="s">
        <v>114</v>
      </c>
      <c r="M112" s="184" t="s">
        <v>115</v>
      </c>
      <c r="N112" s="184" t="s">
        <v>116</v>
      </c>
      <c r="O112" s="184" t="s">
        <v>117</v>
      </c>
      <c r="P112" s="184" t="s">
        <v>175</v>
      </c>
      <c r="Q112" s="184" t="s">
        <v>176</v>
      </c>
      <c r="R112" s="184" t="s">
        <v>118</v>
      </c>
      <c r="S112" s="184" t="s">
        <v>177</v>
      </c>
      <c r="T112" s="121"/>
    </row>
    <row r="113" spans="1:21" ht="66" customHeight="1" x14ac:dyDescent="0.3">
      <c r="A113" s="166" t="s">
        <v>151</v>
      </c>
      <c r="B113" s="463" t="s">
        <v>168</v>
      </c>
      <c r="C113" s="463"/>
      <c r="D113" s="463"/>
      <c r="E113" s="168">
        <f>E109/E111</f>
        <v>8.2047868800922164</v>
      </c>
      <c r="F113" s="117" t="s">
        <v>89</v>
      </c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</row>
    <row r="114" spans="1:21" ht="15.75" customHeight="1" x14ac:dyDescent="0.25">
      <c r="A114" s="127" t="s">
        <v>93</v>
      </c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</row>
    <row r="115" spans="1:21" ht="14.25" customHeight="1" x14ac:dyDescent="0.25">
      <c r="A115" s="128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</row>
    <row r="116" spans="1:21" s="131" customFormat="1" ht="24" customHeight="1" x14ac:dyDescent="0.35">
      <c r="A116" s="129" t="s">
        <v>94</v>
      </c>
      <c r="B116" s="130"/>
      <c r="C116" s="130"/>
      <c r="D116" s="130"/>
      <c r="E116" s="130"/>
      <c r="H116" s="132"/>
      <c r="I116" s="132"/>
      <c r="J116" s="132"/>
      <c r="K116" s="132"/>
      <c r="L116" s="132"/>
      <c r="M116" s="132"/>
      <c r="N116" s="132"/>
      <c r="O116" s="132"/>
      <c r="P116" s="132"/>
      <c r="Q116" s="132"/>
      <c r="R116" s="132"/>
      <c r="S116" s="132"/>
      <c r="T116" s="132"/>
    </row>
    <row r="117" spans="1:21" ht="12.75" customHeight="1" x14ac:dyDescent="0.25"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</row>
    <row r="118" spans="1:21" ht="66.75" customHeight="1" x14ac:dyDescent="0.3">
      <c r="A118" s="133" t="s">
        <v>95</v>
      </c>
      <c r="B118" s="463" t="s">
        <v>160</v>
      </c>
      <c r="C118" s="463"/>
      <c r="D118" s="463"/>
      <c r="E118" s="134">
        <f>ROUND(U118,4)</f>
        <v>17749.166700000002</v>
      </c>
      <c r="F118" s="117" t="s">
        <v>91</v>
      </c>
      <c r="H118" s="178">
        <v>17827</v>
      </c>
      <c r="I118" s="178">
        <v>17827</v>
      </c>
      <c r="J118" s="178">
        <v>17827</v>
      </c>
      <c r="K118" s="178">
        <v>17827</v>
      </c>
      <c r="L118" s="178">
        <v>17800</v>
      </c>
      <c r="M118" s="178">
        <v>17800</v>
      </c>
      <c r="N118" s="178">
        <v>17719</v>
      </c>
      <c r="O118" s="178">
        <v>17719</v>
      </c>
      <c r="P118" s="178">
        <v>17719</v>
      </c>
      <c r="Q118" s="178">
        <v>17719</v>
      </c>
      <c r="R118" s="178">
        <v>17603</v>
      </c>
      <c r="S118" s="178">
        <v>17603</v>
      </c>
      <c r="T118" s="178">
        <f>SUM(H118:S118)</f>
        <v>212990</v>
      </c>
      <c r="U118" s="176">
        <f>T118/12</f>
        <v>17749.166666666668</v>
      </c>
    </row>
    <row r="119" spans="1:21" ht="18.75" x14ac:dyDescent="0.3">
      <c r="E119" s="125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</row>
    <row r="120" spans="1:21" ht="45.75" customHeight="1" x14ac:dyDescent="0.35">
      <c r="A120" s="135" t="s">
        <v>96</v>
      </c>
      <c r="B120" s="463" t="s">
        <v>163</v>
      </c>
      <c r="C120" s="463"/>
      <c r="D120" s="463"/>
      <c r="E120" s="145">
        <f>IFERROR(ROUND(E113*E118,2),0)</f>
        <v>145628.13</v>
      </c>
      <c r="F120" s="117" t="s">
        <v>89</v>
      </c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</row>
    <row r="121" spans="1:21" x14ac:dyDescent="0.25"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</row>
    <row r="122" spans="1:21" s="131" customFormat="1" ht="25.5" customHeight="1" x14ac:dyDescent="0.35">
      <c r="A122" s="129" t="s">
        <v>128</v>
      </c>
      <c r="B122" s="130"/>
      <c r="C122" s="130"/>
      <c r="D122" s="130"/>
      <c r="E122" s="130"/>
      <c r="H122" s="132"/>
      <c r="I122" s="132"/>
      <c r="J122" s="132"/>
      <c r="K122" s="132"/>
      <c r="L122" s="132"/>
      <c r="M122" s="132"/>
      <c r="N122" s="132"/>
      <c r="O122" s="132"/>
      <c r="P122" s="132"/>
      <c r="Q122" s="132"/>
      <c r="R122" s="132"/>
      <c r="S122" s="132"/>
      <c r="T122" s="132"/>
    </row>
    <row r="123" spans="1:21" ht="9" customHeight="1" x14ac:dyDescent="0.25"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</row>
    <row r="124" spans="1:21" ht="61.5" customHeight="1" x14ac:dyDescent="0.3">
      <c r="A124" s="133" t="s">
        <v>95</v>
      </c>
      <c r="B124" s="463" t="s">
        <v>161</v>
      </c>
      <c r="C124" s="463"/>
      <c r="D124" s="463"/>
      <c r="E124" s="134">
        <f>ROUND(U124,4)</f>
        <v>1336.3333</v>
      </c>
      <c r="F124" s="117" t="s">
        <v>91</v>
      </c>
      <c r="H124" s="178">
        <v>1324</v>
      </c>
      <c r="I124" s="178">
        <v>1324</v>
      </c>
      <c r="J124" s="178">
        <v>1324</v>
      </c>
      <c r="K124" s="178">
        <v>1324</v>
      </c>
      <c r="L124" s="178">
        <v>1346</v>
      </c>
      <c r="M124" s="178">
        <v>1346</v>
      </c>
      <c r="N124" s="178">
        <v>1343</v>
      </c>
      <c r="O124" s="178">
        <v>1343</v>
      </c>
      <c r="P124" s="178">
        <v>1343</v>
      </c>
      <c r="Q124" s="178">
        <v>1343</v>
      </c>
      <c r="R124" s="178">
        <v>1338</v>
      </c>
      <c r="S124" s="178">
        <v>1338</v>
      </c>
      <c r="T124" s="178">
        <f>SUM(H124:S124)</f>
        <v>16036</v>
      </c>
      <c r="U124" s="176">
        <f>T124/12</f>
        <v>1336.3333333333333</v>
      </c>
    </row>
    <row r="126" spans="1:21" ht="45.75" customHeight="1" x14ac:dyDescent="0.35">
      <c r="A126" s="135" t="s">
        <v>96</v>
      </c>
      <c r="B126" s="463" t="s">
        <v>162</v>
      </c>
      <c r="C126" s="463"/>
      <c r="D126" s="463"/>
      <c r="E126" s="145">
        <f>IFERROR(ROUND(E113*E124,2),0)</f>
        <v>10964.33</v>
      </c>
      <c r="F126" s="117" t="s">
        <v>89</v>
      </c>
      <c r="H126" s="122"/>
      <c r="I126" s="122"/>
      <c r="J126" s="122"/>
      <c r="K126" s="122"/>
    </row>
  </sheetData>
  <mergeCells count="45">
    <mergeCell ref="B113:D113"/>
    <mergeCell ref="B118:D118"/>
    <mergeCell ref="B120:D120"/>
    <mergeCell ref="B124:D124"/>
    <mergeCell ref="B126:D126"/>
    <mergeCell ref="A103:F103"/>
    <mergeCell ref="A105:F105"/>
    <mergeCell ref="B107:C107"/>
    <mergeCell ref="B109:D109"/>
    <mergeCell ref="B111:D111"/>
    <mergeCell ref="A94:F94"/>
    <mergeCell ref="A101:F101"/>
    <mergeCell ref="B79:D79"/>
    <mergeCell ref="B81:F81"/>
    <mergeCell ref="A83:F83"/>
    <mergeCell ref="B87:D87"/>
    <mergeCell ref="B89:D89"/>
    <mergeCell ref="B92:D92"/>
    <mergeCell ref="B77:D77"/>
    <mergeCell ref="B43:D43"/>
    <mergeCell ref="B45:D45"/>
    <mergeCell ref="B50:D50"/>
    <mergeCell ref="B52:D52"/>
    <mergeCell ref="B56:D56"/>
    <mergeCell ref="B58:D58"/>
    <mergeCell ref="A60:F60"/>
    <mergeCell ref="B64:D64"/>
    <mergeCell ref="B66:D66"/>
    <mergeCell ref="B71:D71"/>
    <mergeCell ref="B73:D73"/>
    <mergeCell ref="A5:F5"/>
    <mergeCell ref="A7:D7"/>
    <mergeCell ref="B9:F9"/>
    <mergeCell ref="A39:F39"/>
    <mergeCell ref="A10:F10"/>
    <mergeCell ref="B12:D12"/>
    <mergeCell ref="B14:D14"/>
    <mergeCell ref="B16:D16"/>
    <mergeCell ref="A18:F18"/>
    <mergeCell ref="B22:D22"/>
    <mergeCell ref="B24:D24"/>
    <mergeCell ref="B29:D29"/>
    <mergeCell ref="B31:D31"/>
    <mergeCell ref="B35:D35"/>
    <mergeCell ref="B37:D37"/>
  </mergeCells>
  <pageMargins left="0.7" right="0.7" top="0.75" bottom="0.75" header="0.3" footer="0.3"/>
  <pageSetup paperSize="9" scale="72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V126"/>
  <sheetViews>
    <sheetView view="pageBreakPreview" zoomScale="80" zoomScaleNormal="100" zoomScaleSheetLayoutView="80" workbookViewId="0">
      <selection activeCell="E8" sqref="E8"/>
    </sheetView>
  </sheetViews>
  <sheetFormatPr defaultRowHeight="15.75" x14ac:dyDescent="0.25"/>
  <cols>
    <col min="1" max="1" width="19.5703125" style="117" customWidth="1"/>
    <col min="2" max="2" width="22" style="117" customWidth="1"/>
    <col min="3" max="3" width="23.7109375" style="117" customWidth="1"/>
    <col min="4" max="4" width="25" style="117" customWidth="1"/>
    <col min="5" max="5" width="21.28515625" style="117" customWidth="1"/>
    <col min="6" max="6" width="9.28515625" style="117" customWidth="1"/>
    <col min="7" max="7" width="18.140625" style="117" bestFit="1" customWidth="1"/>
    <col min="8" max="11" width="15" style="117" customWidth="1"/>
    <col min="12" max="12" width="9.28515625" style="117" bestFit="1" customWidth="1"/>
    <col min="13" max="13" width="9.28515625" style="117" customWidth="1"/>
    <col min="14" max="14" width="9.28515625" style="117" bestFit="1" customWidth="1"/>
    <col min="15" max="17" width="9.28515625" style="117" customWidth="1"/>
    <col min="18" max="18" width="9.5703125" style="117" bestFit="1" customWidth="1"/>
    <col min="19" max="19" width="9.5703125" style="117" customWidth="1"/>
    <col min="20" max="20" width="11.28515625" style="117" customWidth="1"/>
    <col min="21" max="16384" width="9.140625" style="117"/>
  </cols>
  <sheetData>
    <row r="1" spans="1:21" ht="16.5" x14ac:dyDescent="0.25">
      <c r="E1" s="87"/>
      <c r="F1" s="87" t="s">
        <v>171</v>
      </c>
    </row>
    <row r="2" spans="1:21" ht="16.5" x14ac:dyDescent="0.25">
      <c r="E2" s="97"/>
      <c r="F2" s="97" t="s">
        <v>79</v>
      </c>
    </row>
    <row r="3" spans="1:21" ht="16.5" x14ac:dyDescent="0.25">
      <c r="E3" s="175"/>
      <c r="F3" s="97" t="str">
        <f>МОБ!$R$3</f>
        <v>№ 10-01 от 25.06.2024</v>
      </c>
    </row>
    <row r="5" spans="1:21" ht="45.75" customHeight="1" x14ac:dyDescent="0.25">
      <c r="A5" s="461" t="s">
        <v>108</v>
      </c>
      <c r="B5" s="461"/>
      <c r="C5" s="461"/>
      <c r="D5" s="461"/>
      <c r="E5" s="461"/>
      <c r="F5" s="461"/>
    </row>
    <row r="7" spans="1:21" ht="57" customHeight="1" x14ac:dyDescent="0.3">
      <c r="A7" s="462" t="s">
        <v>148</v>
      </c>
      <c r="B7" s="462"/>
      <c r="C7" s="462"/>
      <c r="D7" s="462"/>
      <c r="E7" s="141">
        <v>1525116.75</v>
      </c>
      <c r="F7" s="142" t="s">
        <v>89</v>
      </c>
      <c r="G7" s="122">
        <f>E7-E12</f>
        <v>0</v>
      </c>
    </row>
    <row r="9" spans="1:21" ht="44.25" customHeight="1" x14ac:dyDescent="0.3">
      <c r="A9" s="118" t="s">
        <v>123</v>
      </c>
      <c r="B9" s="458" t="s">
        <v>87</v>
      </c>
      <c r="C9" s="458"/>
      <c r="D9" s="458"/>
      <c r="E9" s="458"/>
      <c r="F9" s="458"/>
    </row>
    <row r="10" spans="1:21" ht="41.25" customHeight="1" x14ac:dyDescent="0.25">
      <c r="A10" s="459" t="s">
        <v>88</v>
      </c>
      <c r="B10" s="460"/>
      <c r="C10" s="460"/>
      <c r="D10" s="460"/>
      <c r="E10" s="460"/>
      <c r="F10" s="460"/>
    </row>
    <row r="11" spans="1:21" ht="41.25" customHeight="1" x14ac:dyDescent="0.25">
      <c r="A11" s="119"/>
      <c r="B11" s="120"/>
      <c r="C11" s="121"/>
      <c r="D11" s="121"/>
      <c r="E11" s="121"/>
      <c r="F11" s="121"/>
      <c r="H11" s="122"/>
      <c r="I11" s="122"/>
      <c r="J11" s="122"/>
      <c r="K11" s="122"/>
    </row>
    <row r="12" spans="1:21" ht="45.75" customHeight="1" x14ac:dyDescent="0.3">
      <c r="A12" s="120"/>
      <c r="B12" s="463" t="s">
        <v>110</v>
      </c>
      <c r="C12" s="463"/>
      <c r="D12" s="463"/>
      <c r="E12" s="123">
        <f>E7</f>
        <v>1525116.75</v>
      </c>
      <c r="F12" s="117" t="s">
        <v>89</v>
      </c>
      <c r="G12" s="161">
        <f>E24+E45+E66-(E12*70%)</f>
        <v>5.0000001210719347E-3</v>
      </c>
      <c r="H12" s="122"/>
      <c r="I12" s="122"/>
      <c r="J12" s="122"/>
      <c r="K12" s="122"/>
    </row>
    <row r="13" spans="1:21" ht="18.75" x14ac:dyDescent="0.3">
      <c r="E13" s="124"/>
      <c r="G13" s="162"/>
      <c r="H13" s="122"/>
      <c r="I13" s="122"/>
      <c r="J13" s="122"/>
      <c r="K13" s="122"/>
    </row>
    <row r="14" spans="1:21" ht="31.5" customHeight="1" x14ac:dyDescent="0.3">
      <c r="A14" s="120"/>
      <c r="B14" s="463" t="s">
        <v>90</v>
      </c>
      <c r="C14" s="463"/>
      <c r="D14" s="463"/>
      <c r="E14" s="143">
        <f>ROUND(U14,4)</f>
        <v>91295.5</v>
      </c>
      <c r="F14" s="117" t="s">
        <v>91</v>
      </c>
      <c r="G14" s="163">
        <f>E22+E43+E64-E14</f>
        <v>0</v>
      </c>
      <c r="H14" s="182">
        <f>H22+H43+H64</f>
        <v>91899</v>
      </c>
      <c r="I14" s="182">
        <f t="shared" ref="I14:S14" si="0">I22+I43+I64</f>
        <v>91899</v>
      </c>
      <c r="J14" s="182">
        <f t="shared" si="0"/>
        <v>91899</v>
      </c>
      <c r="K14" s="182">
        <f t="shared" si="0"/>
        <v>91899</v>
      </c>
      <c r="L14" s="182">
        <f t="shared" si="0"/>
        <v>91235</v>
      </c>
      <c r="M14" s="182">
        <f t="shared" si="0"/>
        <v>91235</v>
      </c>
      <c r="N14" s="182">
        <f t="shared" si="0"/>
        <v>90980</v>
      </c>
      <c r="O14" s="182">
        <f t="shared" si="0"/>
        <v>90980</v>
      </c>
      <c r="P14" s="182">
        <f t="shared" si="0"/>
        <v>90980</v>
      </c>
      <c r="Q14" s="182">
        <f t="shared" si="0"/>
        <v>90980</v>
      </c>
      <c r="R14" s="182">
        <f t="shared" si="0"/>
        <v>90780</v>
      </c>
      <c r="S14" s="182">
        <f t="shared" si="0"/>
        <v>90780</v>
      </c>
      <c r="T14" s="182">
        <f>SUM(H14:S14)</f>
        <v>1095546</v>
      </c>
      <c r="U14" s="182">
        <f>T14/12</f>
        <v>91295.5</v>
      </c>
    </row>
    <row r="15" spans="1:21" ht="44.25" customHeight="1" x14ac:dyDescent="0.3">
      <c r="E15" s="124"/>
      <c r="H15" s="184" t="s">
        <v>111</v>
      </c>
      <c r="I15" s="184" t="s">
        <v>172</v>
      </c>
      <c r="J15" s="184" t="s">
        <v>173</v>
      </c>
      <c r="K15" s="184" t="s">
        <v>174</v>
      </c>
      <c r="L15" s="184" t="s">
        <v>114</v>
      </c>
      <c r="M15" s="184" t="s">
        <v>115</v>
      </c>
      <c r="N15" s="184" t="s">
        <v>116</v>
      </c>
      <c r="O15" s="184" t="s">
        <v>117</v>
      </c>
      <c r="P15" s="184" t="s">
        <v>175</v>
      </c>
      <c r="Q15" s="184" t="s">
        <v>176</v>
      </c>
      <c r="R15" s="184" t="s">
        <v>118</v>
      </c>
      <c r="S15" s="184" t="s">
        <v>177</v>
      </c>
    </row>
    <row r="16" spans="1:21" ht="101.25" customHeight="1" x14ac:dyDescent="0.3">
      <c r="B16" s="463" t="s">
        <v>112</v>
      </c>
      <c r="C16" s="463"/>
      <c r="D16" s="463"/>
      <c r="E16" s="167">
        <f>IFERROR(((0.7)*E12)/E14,0)</f>
        <v>11.693694924722466</v>
      </c>
      <c r="F16" s="117" t="s">
        <v>89</v>
      </c>
    </row>
    <row r="17" spans="1:21" ht="30.75" customHeight="1" x14ac:dyDescent="0.25"/>
    <row r="18" spans="1:21" ht="54" customHeight="1" x14ac:dyDescent="0.3">
      <c r="A18" s="464" t="s">
        <v>119</v>
      </c>
      <c r="B18" s="465"/>
      <c r="C18" s="465"/>
      <c r="D18" s="465"/>
      <c r="E18" s="465"/>
      <c r="F18" s="465"/>
    </row>
    <row r="20" spans="1:21" ht="27" customHeight="1" x14ac:dyDescent="0.25">
      <c r="B20" s="120"/>
    </row>
    <row r="21" spans="1:21" x14ac:dyDescent="0.25">
      <c r="A21" s="117" t="s">
        <v>92</v>
      </c>
    </row>
    <row r="22" spans="1:21" ht="28.5" customHeight="1" x14ac:dyDescent="0.3">
      <c r="A22" s="120"/>
      <c r="B22" s="463" t="s">
        <v>109</v>
      </c>
      <c r="C22" s="463"/>
      <c r="D22" s="463"/>
      <c r="E22" s="125">
        <f>ROUND(U22,4)</f>
        <v>0</v>
      </c>
      <c r="F22" s="117" t="s">
        <v>91</v>
      </c>
      <c r="G22" s="153">
        <f>E22-E29-E35</f>
        <v>0</v>
      </c>
      <c r="H22" s="183">
        <f>H29+H35</f>
        <v>0</v>
      </c>
      <c r="I22" s="183">
        <f t="shared" ref="I22:S22" si="1">I29+I35</f>
        <v>0</v>
      </c>
      <c r="J22" s="183">
        <f t="shared" si="1"/>
        <v>0</v>
      </c>
      <c r="K22" s="183">
        <f t="shared" si="1"/>
        <v>0</v>
      </c>
      <c r="L22" s="183">
        <f t="shared" si="1"/>
        <v>0</v>
      </c>
      <c r="M22" s="183">
        <f t="shared" si="1"/>
        <v>0</v>
      </c>
      <c r="N22" s="183">
        <f t="shared" si="1"/>
        <v>0</v>
      </c>
      <c r="O22" s="183">
        <f t="shared" si="1"/>
        <v>0</v>
      </c>
      <c r="P22" s="183">
        <f t="shared" si="1"/>
        <v>0</v>
      </c>
      <c r="Q22" s="183">
        <f t="shared" si="1"/>
        <v>0</v>
      </c>
      <c r="R22" s="183">
        <f t="shared" si="1"/>
        <v>0</v>
      </c>
      <c r="S22" s="183">
        <f t="shared" si="1"/>
        <v>0</v>
      </c>
      <c r="T22" s="183">
        <f>SUM(H22:S22)</f>
        <v>0</v>
      </c>
      <c r="U22" s="185">
        <f>T22/12</f>
        <v>0</v>
      </c>
    </row>
    <row r="23" spans="1:21" ht="18.75" x14ac:dyDescent="0.3">
      <c r="E23" s="125"/>
      <c r="H23" s="185" t="s">
        <v>111</v>
      </c>
      <c r="I23" s="185" t="s">
        <v>172</v>
      </c>
      <c r="J23" s="185" t="s">
        <v>173</v>
      </c>
      <c r="K23" s="185" t="s">
        <v>174</v>
      </c>
      <c r="L23" s="185" t="s">
        <v>114</v>
      </c>
      <c r="M23" s="185" t="s">
        <v>115</v>
      </c>
      <c r="N23" s="185" t="s">
        <v>116</v>
      </c>
      <c r="O23" s="185" t="s">
        <v>117</v>
      </c>
      <c r="P23" s="185" t="s">
        <v>175</v>
      </c>
      <c r="Q23" s="185" t="s">
        <v>176</v>
      </c>
      <c r="R23" s="185" t="s">
        <v>118</v>
      </c>
      <c r="S23" s="185" t="s">
        <v>177</v>
      </c>
      <c r="T23" s="185"/>
      <c r="U23" s="185"/>
    </row>
    <row r="24" spans="1:21" ht="29.25" customHeight="1" x14ac:dyDescent="0.3">
      <c r="A24" s="120"/>
      <c r="B24" s="463" t="s">
        <v>155</v>
      </c>
      <c r="C24" s="463"/>
      <c r="D24" s="463"/>
      <c r="E24" s="146">
        <f>IFERROR(ROUND($E$16*E22,2),0)</f>
        <v>0</v>
      </c>
      <c r="F24" s="117" t="s">
        <v>89</v>
      </c>
      <c r="G24" s="144">
        <f>E24-E31-E37</f>
        <v>0</v>
      </c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</row>
    <row r="25" spans="1:21" ht="15.75" customHeight="1" x14ac:dyDescent="0.25">
      <c r="A25" s="127" t="s">
        <v>93</v>
      </c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</row>
    <row r="26" spans="1:21" ht="14.25" customHeight="1" x14ac:dyDescent="0.25">
      <c r="A26" s="128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</row>
    <row r="27" spans="1:21" s="131" customFormat="1" ht="24" customHeight="1" x14ac:dyDescent="0.35">
      <c r="A27" s="129" t="s">
        <v>94</v>
      </c>
      <c r="B27" s="130"/>
      <c r="C27" s="130"/>
      <c r="D27" s="130"/>
      <c r="E27" s="130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</row>
    <row r="28" spans="1:21" ht="12.75" customHeight="1" x14ac:dyDescent="0.25"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</row>
    <row r="29" spans="1:21" ht="47.25" customHeight="1" x14ac:dyDescent="0.3">
      <c r="A29" s="133" t="s">
        <v>95</v>
      </c>
      <c r="B29" s="463" t="s">
        <v>166</v>
      </c>
      <c r="C29" s="463"/>
      <c r="D29" s="463"/>
      <c r="E29" s="134">
        <f>ROUND(U29,4)</f>
        <v>0</v>
      </c>
      <c r="F29" s="117" t="s">
        <v>91</v>
      </c>
      <c r="H29" s="126">
        <v>0</v>
      </c>
      <c r="I29" s="126">
        <v>0</v>
      </c>
      <c r="J29" s="126">
        <v>0</v>
      </c>
      <c r="K29" s="126">
        <v>0</v>
      </c>
      <c r="L29" s="126">
        <v>0</v>
      </c>
      <c r="M29" s="126">
        <v>0</v>
      </c>
      <c r="N29" s="126">
        <v>0</v>
      </c>
      <c r="O29" s="126">
        <v>0</v>
      </c>
      <c r="P29" s="126">
        <v>0</v>
      </c>
      <c r="Q29" s="126">
        <v>0</v>
      </c>
      <c r="R29" s="126">
        <v>0</v>
      </c>
      <c r="S29" s="126">
        <v>0</v>
      </c>
      <c r="T29" s="126">
        <f>SUM(H29:S29)</f>
        <v>0</v>
      </c>
      <c r="U29" s="117">
        <f>T29/12</f>
        <v>0</v>
      </c>
    </row>
    <row r="30" spans="1:21" ht="18.75" x14ac:dyDescent="0.3">
      <c r="E30" s="125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1:21" ht="45.75" customHeight="1" x14ac:dyDescent="0.35">
      <c r="A31" s="135" t="s">
        <v>96</v>
      </c>
      <c r="B31" s="463" t="s">
        <v>97</v>
      </c>
      <c r="C31" s="463"/>
      <c r="D31" s="463"/>
      <c r="E31" s="145">
        <f>IFERROR(ROUND($E$16*E29,2),0)</f>
        <v>0</v>
      </c>
      <c r="F31" s="117" t="s">
        <v>89</v>
      </c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1:21" x14ac:dyDescent="0.25"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1" s="131" customFormat="1" ht="25.5" customHeight="1" x14ac:dyDescent="0.35">
      <c r="A33" s="129" t="s">
        <v>128</v>
      </c>
      <c r="B33" s="130"/>
      <c r="C33" s="130"/>
      <c r="D33" s="130"/>
      <c r="E33" s="130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</row>
    <row r="34" spans="1:21" ht="9" customHeight="1" x14ac:dyDescent="0.25"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</row>
    <row r="35" spans="1:21" ht="61.5" customHeight="1" x14ac:dyDescent="0.3">
      <c r="A35" s="133" t="s">
        <v>95</v>
      </c>
      <c r="B35" s="463" t="s">
        <v>164</v>
      </c>
      <c r="C35" s="463"/>
      <c r="D35" s="463"/>
      <c r="E35" s="154">
        <f>ROUND(U35,4)</f>
        <v>0</v>
      </c>
      <c r="F35" s="117" t="s">
        <v>91</v>
      </c>
      <c r="H35" s="126">
        <v>0</v>
      </c>
      <c r="I35" s="126">
        <v>0</v>
      </c>
      <c r="J35" s="126">
        <v>0</v>
      </c>
      <c r="K35" s="126">
        <v>0</v>
      </c>
      <c r="L35" s="126">
        <v>0</v>
      </c>
      <c r="M35" s="126">
        <v>0</v>
      </c>
      <c r="N35" s="126">
        <v>0</v>
      </c>
      <c r="O35" s="126">
        <v>0</v>
      </c>
      <c r="P35" s="126">
        <v>0</v>
      </c>
      <c r="Q35" s="126">
        <v>0</v>
      </c>
      <c r="R35" s="126">
        <v>0</v>
      </c>
      <c r="S35" s="126">
        <v>0</v>
      </c>
      <c r="T35" s="126">
        <f>SUM(H35:S35)</f>
        <v>0</v>
      </c>
      <c r="U35" s="117">
        <f>T35/12</f>
        <v>0</v>
      </c>
    </row>
    <row r="37" spans="1:21" ht="45.75" customHeight="1" x14ac:dyDescent="0.35">
      <c r="A37" s="135" t="s">
        <v>96</v>
      </c>
      <c r="B37" s="463" t="s">
        <v>165</v>
      </c>
      <c r="C37" s="463"/>
      <c r="D37" s="463"/>
      <c r="E37" s="145">
        <f>IFERROR(ROUND($E$16*E35,2),0)</f>
        <v>0</v>
      </c>
      <c r="F37" s="117" t="s">
        <v>89</v>
      </c>
      <c r="H37" s="122"/>
      <c r="I37" s="122"/>
      <c r="J37" s="122"/>
      <c r="K37" s="122"/>
    </row>
    <row r="38" spans="1:21" s="150" customFormat="1" ht="45.75" customHeight="1" x14ac:dyDescent="0.35">
      <c r="A38" s="147"/>
      <c r="B38" s="148"/>
      <c r="C38" s="148"/>
      <c r="D38" s="148"/>
      <c r="E38" s="149"/>
      <c r="H38" s="151"/>
      <c r="I38" s="151"/>
      <c r="J38" s="151"/>
      <c r="K38" s="151"/>
    </row>
    <row r="39" spans="1:21" ht="54" customHeight="1" x14ac:dyDescent="0.3">
      <c r="A39" s="464" t="s">
        <v>120</v>
      </c>
      <c r="B39" s="465"/>
      <c r="C39" s="465"/>
      <c r="D39" s="465"/>
      <c r="E39" s="465"/>
      <c r="F39" s="465"/>
    </row>
    <row r="41" spans="1:21" ht="27" customHeight="1" x14ac:dyDescent="0.25">
      <c r="B41" s="120"/>
    </row>
    <row r="42" spans="1:21" x14ac:dyDescent="0.25">
      <c r="A42" s="117" t="s">
        <v>92</v>
      </c>
    </row>
    <row r="43" spans="1:21" ht="28.5" customHeight="1" x14ac:dyDescent="0.3">
      <c r="A43" s="120"/>
      <c r="B43" s="463" t="s">
        <v>109</v>
      </c>
      <c r="C43" s="463"/>
      <c r="D43" s="463"/>
      <c r="E43" s="152">
        <f>ROUND(U43,4)</f>
        <v>0</v>
      </c>
      <c r="F43" s="117" t="s">
        <v>91</v>
      </c>
      <c r="G43" s="153">
        <f>E43-E50-E56</f>
        <v>0</v>
      </c>
      <c r="H43" s="183">
        <f>H50+H56</f>
        <v>0</v>
      </c>
      <c r="I43" s="183">
        <f t="shared" ref="I43:S43" si="2">I50+I56</f>
        <v>0</v>
      </c>
      <c r="J43" s="183">
        <f t="shared" si="2"/>
        <v>0</v>
      </c>
      <c r="K43" s="183">
        <f t="shared" si="2"/>
        <v>0</v>
      </c>
      <c r="L43" s="183">
        <f t="shared" si="2"/>
        <v>0</v>
      </c>
      <c r="M43" s="183">
        <f t="shared" si="2"/>
        <v>0</v>
      </c>
      <c r="N43" s="183">
        <f t="shared" si="2"/>
        <v>0</v>
      </c>
      <c r="O43" s="183">
        <f t="shared" si="2"/>
        <v>0</v>
      </c>
      <c r="P43" s="183">
        <f t="shared" si="2"/>
        <v>0</v>
      </c>
      <c r="Q43" s="183">
        <f t="shared" si="2"/>
        <v>0</v>
      </c>
      <c r="R43" s="183">
        <f t="shared" si="2"/>
        <v>0</v>
      </c>
      <c r="S43" s="183">
        <f t="shared" si="2"/>
        <v>0</v>
      </c>
      <c r="T43" s="126">
        <f>SUM(H43:S43)</f>
        <v>0</v>
      </c>
      <c r="U43" s="117">
        <f>T43/12</f>
        <v>0</v>
      </c>
    </row>
    <row r="44" spans="1:21" ht="18.75" x14ac:dyDescent="0.3">
      <c r="E44" s="125"/>
      <c r="H44" s="185" t="s">
        <v>111</v>
      </c>
      <c r="I44" s="185" t="s">
        <v>172</v>
      </c>
      <c r="J44" s="185" t="s">
        <v>173</v>
      </c>
      <c r="K44" s="185" t="s">
        <v>174</v>
      </c>
      <c r="L44" s="185" t="s">
        <v>114</v>
      </c>
      <c r="M44" s="185" t="s">
        <v>115</v>
      </c>
      <c r="N44" s="185" t="s">
        <v>116</v>
      </c>
      <c r="O44" s="185" t="s">
        <v>117</v>
      </c>
      <c r="P44" s="185" t="s">
        <v>175</v>
      </c>
      <c r="Q44" s="185" t="s">
        <v>176</v>
      </c>
      <c r="R44" s="185" t="s">
        <v>118</v>
      </c>
      <c r="S44" s="185" t="s">
        <v>177</v>
      </c>
    </row>
    <row r="45" spans="1:21" ht="29.25" customHeight="1" x14ac:dyDescent="0.3">
      <c r="A45" s="120"/>
      <c r="B45" s="463" t="s">
        <v>113</v>
      </c>
      <c r="C45" s="463"/>
      <c r="D45" s="463"/>
      <c r="E45" s="146">
        <f>IFERROR(ROUND($E$16*E43,2),0)</f>
        <v>0</v>
      </c>
      <c r="F45" s="117" t="s">
        <v>89</v>
      </c>
      <c r="G45" s="144">
        <f>E45-E52-E58</f>
        <v>0</v>
      </c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1:21" ht="15.75" customHeight="1" x14ac:dyDescent="0.25">
      <c r="A46" s="127" t="s">
        <v>93</v>
      </c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1:21" ht="14.25" customHeight="1" x14ac:dyDescent="0.25">
      <c r="A47" s="128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1:21" s="131" customFormat="1" ht="24" customHeight="1" x14ac:dyDescent="0.35">
      <c r="A48" s="129" t="s">
        <v>94</v>
      </c>
      <c r="B48" s="130"/>
      <c r="C48" s="130"/>
      <c r="D48" s="130"/>
      <c r="E48" s="130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</row>
    <row r="49" spans="1:21" ht="12.75" customHeight="1" x14ac:dyDescent="0.25"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:21" ht="66.75" customHeight="1" x14ac:dyDescent="0.3">
      <c r="A50" s="133" t="s">
        <v>95</v>
      </c>
      <c r="B50" s="463" t="s">
        <v>160</v>
      </c>
      <c r="C50" s="463"/>
      <c r="D50" s="463"/>
      <c r="E50" s="134">
        <f>ROUND(U50,4)</f>
        <v>0</v>
      </c>
      <c r="F50" s="117" t="s">
        <v>91</v>
      </c>
      <c r="H50" s="126">
        <v>0</v>
      </c>
      <c r="I50" s="126">
        <v>0</v>
      </c>
      <c r="J50" s="126">
        <v>0</v>
      </c>
      <c r="K50" s="126">
        <v>0</v>
      </c>
      <c r="L50" s="126">
        <v>0</v>
      </c>
      <c r="M50" s="126">
        <v>0</v>
      </c>
      <c r="N50" s="126">
        <v>0</v>
      </c>
      <c r="O50" s="126">
        <v>0</v>
      </c>
      <c r="P50" s="126">
        <v>0</v>
      </c>
      <c r="Q50" s="126">
        <v>0</v>
      </c>
      <c r="R50" s="126">
        <v>0</v>
      </c>
      <c r="S50" s="126">
        <v>0</v>
      </c>
      <c r="T50" s="126">
        <f>SUM(H50:S50)</f>
        <v>0</v>
      </c>
      <c r="U50" s="117">
        <f>T50/12</f>
        <v>0</v>
      </c>
    </row>
    <row r="51" spans="1:21" ht="18.75" x14ac:dyDescent="0.3">
      <c r="E51" s="125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:21" ht="45.75" customHeight="1" x14ac:dyDescent="0.35">
      <c r="A52" s="135" t="s">
        <v>96</v>
      </c>
      <c r="B52" s="463" t="s">
        <v>163</v>
      </c>
      <c r="C52" s="463"/>
      <c r="D52" s="463"/>
      <c r="E52" s="145">
        <f>IFERROR(ROUND($E$16*E50,2),0)</f>
        <v>0</v>
      </c>
      <c r="F52" s="117" t="s">
        <v>89</v>
      </c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1" x14ac:dyDescent="0.25"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1" s="131" customFormat="1" ht="25.5" customHeight="1" x14ac:dyDescent="0.35">
      <c r="A54" s="129" t="s">
        <v>128</v>
      </c>
      <c r="B54" s="130"/>
      <c r="C54" s="130"/>
      <c r="D54" s="130"/>
      <c r="E54" s="130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</row>
    <row r="55" spans="1:21" ht="9" customHeight="1" x14ac:dyDescent="0.25"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  <row r="56" spans="1:21" ht="61.5" customHeight="1" x14ac:dyDescent="0.3">
      <c r="A56" s="133" t="s">
        <v>95</v>
      </c>
      <c r="B56" s="463" t="s">
        <v>161</v>
      </c>
      <c r="C56" s="463"/>
      <c r="D56" s="463"/>
      <c r="E56" s="134">
        <f>ROUND(U56,4)</f>
        <v>0</v>
      </c>
      <c r="F56" s="117" t="s">
        <v>91</v>
      </c>
      <c r="H56" s="126">
        <v>0</v>
      </c>
      <c r="I56" s="126">
        <v>0</v>
      </c>
      <c r="J56" s="126">
        <v>0</v>
      </c>
      <c r="K56" s="126">
        <v>0</v>
      </c>
      <c r="L56" s="126">
        <v>0</v>
      </c>
      <c r="M56" s="126">
        <v>0</v>
      </c>
      <c r="N56" s="126">
        <v>0</v>
      </c>
      <c r="O56" s="126">
        <v>0</v>
      </c>
      <c r="P56" s="126">
        <v>0</v>
      </c>
      <c r="Q56" s="126">
        <v>0</v>
      </c>
      <c r="R56" s="126">
        <v>0</v>
      </c>
      <c r="S56" s="126">
        <v>0</v>
      </c>
      <c r="T56" s="126">
        <f>SUM(H56:S56)</f>
        <v>0</v>
      </c>
      <c r="U56" s="117">
        <f>T56/12</f>
        <v>0</v>
      </c>
    </row>
    <row r="58" spans="1:21" ht="45.75" customHeight="1" x14ac:dyDescent="0.35">
      <c r="A58" s="135" t="s">
        <v>96</v>
      </c>
      <c r="B58" s="463" t="s">
        <v>162</v>
      </c>
      <c r="C58" s="463"/>
      <c r="D58" s="463"/>
      <c r="E58" s="145">
        <f>IFERROR(ROUND($E$16*E56,2),0)</f>
        <v>0</v>
      </c>
      <c r="F58" s="117" t="s">
        <v>89</v>
      </c>
      <c r="H58" s="122"/>
      <c r="I58" s="122"/>
      <c r="J58" s="122"/>
      <c r="K58" s="122"/>
    </row>
    <row r="59" spans="1:21" ht="25.5" customHeight="1" x14ac:dyDescent="0.25"/>
    <row r="60" spans="1:21" ht="54" customHeight="1" x14ac:dyDescent="0.3">
      <c r="A60" s="464" t="s">
        <v>121</v>
      </c>
      <c r="B60" s="465"/>
      <c r="C60" s="465"/>
      <c r="D60" s="465"/>
      <c r="E60" s="465"/>
      <c r="F60" s="465"/>
    </row>
    <row r="62" spans="1:21" ht="27" customHeight="1" x14ac:dyDescent="0.25">
      <c r="B62" s="120"/>
    </row>
    <row r="63" spans="1:21" x14ac:dyDescent="0.25">
      <c r="A63" s="117" t="s">
        <v>92</v>
      </c>
    </row>
    <row r="64" spans="1:21" ht="28.5" customHeight="1" x14ac:dyDescent="0.3">
      <c r="A64" s="120"/>
      <c r="B64" s="463" t="s">
        <v>109</v>
      </c>
      <c r="C64" s="463"/>
      <c r="D64" s="463"/>
      <c r="E64" s="152">
        <f>ROUND(U64,4)</f>
        <v>91295.5</v>
      </c>
      <c r="F64" s="117" t="s">
        <v>91</v>
      </c>
      <c r="G64" s="153">
        <f>E64-E71-E77</f>
        <v>0</v>
      </c>
      <c r="H64" s="183">
        <f>H71+H77</f>
        <v>91899</v>
      </c>
      <c r="I64" s="183">
        <f t="shared" ref="I64:S64" si="3">I71+I77</f>
        <v>91899</v>
      </c>
      <c r="J64" s="183">
        <f t="shared" si="3"/>
        <v>91899</v>
      </c>
      <c r="K64" s="183">
        <f t="shared" si="3"/>
        <v>91899</v>
      </c>
      <c r="L64" s="183">
        <f t="shared" si="3"/>
        <v>91235</v>
      </c>
      <c r="M64" s="183">
        <f t="shared" si="3"/>
        <v>91235</v>
      </c>
      <c r="N64" s="183">
        <f t="shared" si="3"/>
        <v>90980</v>
      </c>
      <c r="O64" s="183">
        <f t="shared" si="3"/>
        <v>90980</v>
      </c>
      <c r="P64" s="183">
        <f t="shared" si="3"/>
        <v>90980</v>
      </c>
      <c r="Q64" s="183">
        <f t="shared" si="3"/>
        <v>90980</v>
      </c>
      <c r="R64" s="183">
        <f t="shared" si="3"/>
        <v>90780</v>
      </c>
      <c r="S64" s="183">
        <f t="shared" si="3"/>
        <v>90780</v>
      </c>
      <c r="T64" s="183">
        <f>SUM(H64:S64)</f>
        <v>1095546</v>
      </c>
      <c r="U64" s="177">
        <f>T64/12</f>
        <v>91295.5</v>
      </c>
    </row>
    <row r="65" spans="1:22" ht="18.75" x14ac:dyDescent="0.3">
      <c r="E65" s="125"/>
      <c r="H65" s="184" t="s">
        <v>111</v>
      </c>
      <c r="I65" s="184" t="s">
        <v>172</v>
      </c>
      <c r="J65" s="184" t="s">
        <v>173</v>
      </c>
      <c r="K65" s="184" t="s">
        <v>174</v>
      </c>
      <c r="L65" s="184" t="s">
        <v>114</v>
      </c>
      <c r="M65" s="184" t="s">
        <v>115</v>
      </c>
      <c r="N65" s="184" t="s">
        <v>116</v>
      </c>
      <c r="O65" s="184" t="s">
        <v>117</v>
      </c>
      <c r="P65" s="184" t="s">
        <v>175</v>
      </c>
      <c r="Q65" s="184" t="s">
        <v>176</v>
      </c>
      <c r="R65" s="184" t="s">
        <v>118</v>
      </c>
      <c r="S65" s="184" t="s">
        <v>177</v>
      </c>
      <c r="T65" s="121"/>
    </row>
    <row r="66" spans="1:22" ht="29.25" customHeight="1" x14ac:dyDescent="0.3">
      <c r="A66" s="120"/>
      <c r="B66" s="463" t="s">
        <v>113</v>
      </c>
      <c r="C66" s="463"/>
      <c r="D66" s="463"/>
      <c r="E66" s="146">
        <f>IFERROR(ROUND($E$16*E64,2),0)</f>
        <v>1067581.73</v>
      </c>
      <c r="F66" s="117" t="s">
        <v>89</v>
      </c>
      <c r="G66" s="144">
        <f>E66-E73-E79</f>
        <v>9.9999999802093953E-3</v>
      </c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</row>
    <row r="67" spans="1:22" ht="15.75" customHeight="1" x14ac:dyDescent="0.25">
      <c r="A67" s="127" t="s">
        <v>93</v>
      </c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</row>
    <row r="68" spans="1:22" ht="14.25" customHeight="1" x14ac:dyDescent="0.25">
      <c r="A68" s="128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</row>
    <row r="69" spans="1:22" s="131" customFormat="1" ht="24" customHeight="1" x14ac:dyDescent="0.35">
      <c r="A69" s="129" t="s">
        <v>94</v>
      </c>
      <c r="B69" s="130"/>
      <c r="C69" s="130"/>
      <c r="D69" s="130"/>
      <c r="E69" s="130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</row>
    <row r="70" spans="1:22" ht="12.75" customHeight="1" x14ac:dyDescent="0.25"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</row>
    <row r="71" spans="1:22" ht="47.25" customHeight="1" x14ac:dyDescent="0.3">
      <c r="A71" s="133" t="s">
        <v>95</v>
      </c>
      <c r="B71" s="463" t="s">
        <v>157</v>
      </c>
      <c r="C71" s="463"/>
      <c r="D71" s="463"/>
      <c r="E71" s="134">
        <f>ROUND(U71,4)</f>
        <v>83709.833299999998</v>
      </c>
      <c r="F71" s="117" t="s">
        <v>91</v>
      </c>
      <c r="H71" s="333">
        <v>84281</v>
      </c>
      <c r="I71" s="333">
        <v>84281</v>
      </c>
      <c r="J71" s="333">
        <v>84281</v>
      </c>
      <c r="K71" s="333">
        <v>84281</v>
      </c>
      <c r="L71" s="333">
        <v>83693</v>
      </c>
      <c r="M71" s="333">
        <v>83693</v>
      </c>
      <c r="N71" s="333">
        <v>83427</v>
      </c>
      <c r="O71" s="333">
        <v>83427</v>
      </c>
      <c r="P71" s="333">
        <v>83427</v>
      </c>
      <c r="Q71" s="333">
        <v>83427</v>
      </c>
      <c r="R71" s="333">
        <v>83150</v>
      </c>
      <c r="S71" s="333">
        <v>83150</v>
      </c>
      <c r="T71" s="333">
        <f>SUM(H71:S71)</f>
        <v>1004518</v>
      </c>
      <c r="U71" s="334">
        <f>T71/12</f>
        <v>83709.833333333328</v>
      </c>
    </row>
    <row r="72" spans="1:22" ht="18.75" x14ac:dyDescent="0.3">
      <c r="E72" s="125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</row>
    <row r="73" spans="1:22" ht="45.75" customHeight="1" x14ac:dyDescent="0.35">
      <c r="A73" s="135" t="s">
        <v>96</v>
      </c>
      <c r="B73" s="463" t="s">
        <v>158</v>
      </c>
      <c r="C73" s="463"/>
      <c r="D73" s="463"/>
      <c r="E73" s="145">
        <f>IFERROR(ROUND($E$16*E71,2),0)</f>
        <v>978877.25</v>
      </c>
      <c r="F73" s="117" t="s">
        <v>89</v>
      </c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</row>
    <row r="74" spans="1:22" x14ac:dyDescent="0.25"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</row>
    <row r="75" spans="1:22" s="131" customFormat="1" ht="25.5" customHeight="1" x14ac:dyDescent="0.35">
      <c r="A75" s="129" t="s">
        <v>128</v>
      </c>
      <c r="B75" s="130"/>
      <c r="C75" s="130"/>
      <c r="D75" s="130"/>
      <c r="E75" s="130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</row>
    <row r="76" spans="1:22" ht="9" customHeight="1" x14ac:dyDescent="0.25"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</row>
    <row r="77" spans="1:22" ht="61.5" customHeight="1" x14ac:dyDescent="0.3">
      <c r="A77" s="133" t="s">
        <v>95</v>
      </c>
      <c r="B77" s="463" t="s">
        <v>156</v>
      </c>
      <c r="C77" s="463"/>
      <c r="D77" s="463"/>
      <c r="E77" s="134">
        <f>ROUND(U77,4)</f>
        <v>7585.6666999999998</v>
      </c>
      <c r="F77" s="117" t="s">
        <v>91</v>
      </c>
      <c r="H77" s="178">
        <v>7618</v>
      </c>
      <c r="I77" s="178">
        <v>7618</v>
      </c>
      <c r="J77" s="178">
        <v>7618</v>
      </c>
      <c r="K77" s="178">
        <v>7618</v>
      </c>
      <c r="L77" s="178">
        <v>7542</v>
      </c>
      <c r="M77" s="178">
        <v>7542</v>
      </c>
      <c r="N77" s="178">
        <v>7553</v>
      </c>
      <c r="O77" s="178">
        <v>7553</v>
      </c>
      <c r="P77" s="178">
        <v>7553</v>
      </c>
      <c r="Q77" s="178">
        <v>7553</v>
      </c>
      <c r="R77" s="178">
        <v>7630</v>
      </c>
      <c r="S77" s="178">
        <v>7630</v>
      </c>
      <c r="T77" s="178">
        <f>SUM(H77:S77)</f>
        <v>91028</v>
      </c>
      <c r="U77" s="176">
        <f>T77/12</f>
        <v>7585.666666666667</v>
      </c>
      <c r="V77" s="176"/>
    </row>
    <row r="79" spans="1:22" ht="45.75" customHeight="1" x14ac:dyDescent="0.35">
      <c r="A79" s="135" t="s">
        <v>96</v>
      </c>
      <c r="B79" s="463" t="s">
        <v>159</v>
      </c>
      <c r="C79" s="463"/>
      <c r="D79" s="463"/>
      <c r="E79" s="145">
        <f>IFERROR(ROUND($E$16*E77,2),0)</f>
        <v>88704.47</v>
      </c>
      <c r="F79" s="117" t="s">
        <v>89</v>
      </c>
      <c r="H79" s="122"/>
      <c r="I79" s="122"/>
      <c r="J79" s="122"/>
      <c r="K79" s="122"/>
    </row>
    <row r="80" spans="1:22" ht="45.75" customHeight="1" x14ac:dyDescent="0.35">
      <c r="A80" s="135"/>
      <c r="B80" s="137"/>
      <c r="C80" s="137"/>
      <c r="D80" s="137"/>
      <c r="E80" s="145"/>
      <c r="H80" s="122"/>
      <c r="I80" s="122"/>
      <c r="J80" s="122"/>
      <c r="K80" s="122"/>
    </row>
    <row r="81" spans="1:6" ht="50.25" customHeight="1" x14ac:dyDescent="0.3">
      <c r="A81" s="118" t="s">
        <v>124</v>
      </c>
      <c r="B81" s="458" t="s">
        <v>98</v>
      </c>
      <c r="C81" s="458"/>
      <c r="D81" s="458"/>
      <c r="E81" s="458"/>
      <c r="F81" s="458"/>
    </row>
    <row r="83" spans="1:6" ht="33" customHeight="1" x14ac:dyDescent="0.25">
      <c r="A83" s="468" t="s">
        <v>99</v>
      </c>
      <c r="B83" s="471"/>
      <c r="C83" s="471"/>
      <c r="D83" s="471"/>
      <c r="E83" s="471"/>
      <c r="F83" s="471"/>
    </row>
    <row r="85" spans="1:6" ht="36.75" customHeight="1" x14ac:dyDescent="0.25">
      <c r="B85" s="120"/>
    </row>
    <row r="87" spans="1:6" ht="45.75" customHeight="1" x14ac:dyDescent="0.3">
      <c r="A87" s="120"/>
      <c r="B87" s="463" t="s">
        <v>110</v>
      </c>
      <c r="C87" s="463"/>
      <c r="D87" s="463"/>
      <c r="E87" s="123">
        <f>E7</f>
        <v>1525116.75</v>
      </c>
      <c r="F87" s="117" t="s">
        <v>89</v>
      </c>
    </row>
    <row r="89" spans="1:6" ht="31.5" customHeight="1" x14ac:dyDescent="0.25">
      <c r="A89" s="136" t="s">
        <v>100</v>
      </c>
      <c r="B89" s="463" t="s">
        <v>101</v>
      </c>
      <c r="C89" s="463"/>
      <c r="D89" s="463"/>
      <c r="E89" s="117">
        <f>1</f>
        <v>1</v>
      </c>
      <c r="F89" s="117" t="s">
        <v>147</v>
      </c>
    </row>
    <row r="91" spans="1:6" x14ac:dyDescent="0.25">
      <c r="A91" s="120"/>
    </row>
    <row r="92" spans="1:6" ht="63" customHeight="1" x14ac:dyDescent="0.3">
      <c r="A92" s="120"/>
      <c r="B92" s="463" t="s">
        <v>102</v>
      </c>
      <c r="C92" s="463"/>
      <c r="D92" s="463"/>
      <c r="E92" s="123">
        <f>IFERROR(ROUND(E87*30%/E89,2),0)</f>
        <v>457535.03</v>
      </c>
      <c r="F92" s="117" t="s">
        <v>89</v>
      </c>
    </row>
    <row r="94" spans="1:6" ht="49.5" customHeight="1" x14ac:dyDescent="0.25">
      <c r="A94" s="468" t="s">
        <v>103</v>
      </c>
      <c r="B94" s="468"/>
      <c r="C94" s="468"/>
      <c r="D94" s="468"/>
      <c r="E94" s="468"/>
      <c r="F94" s="468"/>
    </row>
    <row r="96" spans="1:6" ht="32.25" customHeight="1" x14ac:dyDescent="0.25">
      <c r="B96" s="120"/>
    </row>
    <row r="98" spans="1:21" ht="21.75" customHeight="1" x14ac:dyDescent="0.25">
      <c r="A98" s="120"/>
      <c r="B98" s="117" t="s">
        <v>104</v>
      </c>
    </row>
    <row r="101" spans="1:21" ht="60.75" customHeight="1" x14ac:dyDescent="0.25">
      <c r="A101" s="469" t="s">
        <v>105</v>
      </c>
      <c r="B101" s="470"/>
      <c r="C101" s="470"/>
      <c r="D101" s="470"/>
      <c r="E101" s="470"/>
      <c r="F101" s="470"/>
    </row>
    <row r="102" spans="1:21" ht="17.25" customHeight="1" x14ac:dyDescent="0.25">
      <c r="A102" s="139"/>
      <c r="B102" s="140"/>
      <c r="C102" s="140"/>
      <c r="D102" s="140"/>
      <c r="E102" s="140"/>
      <c r="F102" s="140"/>
    </row>
    <row r="103" spans="1:21" ht="63.75" customHeight="1" x14ac:dyDescent="0.25">
      <c r="A103" s="467" t="s">
        <v>178</v>
      </c>
      <c r="B103" s="467"/>
      <c r="C103" s="467"/>
      <c r="D103" s="467"/>
      <c r="E103" s="467"/>
      <c r="F103" s="467"/>
    </row>
    <row r="105" spans="1:21" ht="54" customHeight="1" x14ac:dyDescent="0.3">
      <c r="A105" s="464" t="s">
        <v>179</v>
      </c>
      <c r="B105" s="465"/>
      <c r="C105" s="465"/>
      <c r="D105" s="465"/>
      <c r="E105" s="465"/>
      <c r="F105" s="465"/>
    </row>
    <row r="107" spans="1:21" ht="27" customHeight="1" x14ac:dyDescent="0.3">
      <c r="B107" s="466" t="s">
        <v>154</v>
      </c>
      <c r="C107" s="466"/>
    </row>
    <row r="108" spans="1:21" x14ac:dyDescent="0.25">
      <c r="A108" s="117" t="s">
        <v>92</v>
      </c>
    </row>
    <row r="109" spans="1:21" ht="36" customHeight="1" x14ac:dyDescent="0.3">
      <c r="A109" s="166" t="s">
        <v>167</v>
      </c>
      <c r="B109" s="463" t="s">
        <v>150</v>
      </c>
      <c r="C109" s="463"/>
      <c r="D109" s="463"/>
      <c r="E109" s="146">
        <f>E87*0.3</f>
        <v>457535.02499999997</v>
      </c>
      <c r="F109" s="117" t="s">
        <v>89</v>
      </c>
      <c r="G109" s="144">
        <f>E109-E120-E126</f>
        <v>4.9999999610008672E-3</v>
      </c>
    </row>
    <row r="110" spans="1:21" ht="9" customHeight="1" x14ac:dyDescent="0.3">
      <c r="A110" s="166"/>
      <c r="B110" s="137"/>
      <c r="C110" s="137"/>
      <c r="D110" s="137"/>
      <c r="E110" s="146"/>
    </row>
    <row r="111" spans="1:21" ht="28.5" customHeight="1" x14ac:dyDescent="0.3">
      <c r="A111" s="166" t="s">
        <v>152</v>
      </c>
      <c r="B111" s="463" t="s">
        <v>109</v>
      </c>
      <c r="C111" s="463"/>
      <c r="D111" s="463"/>
      <c r="E111" s="169">
        <f>ROUND(U111,4)</f>
        <v>91295.5</v>
      </c>
      <c r="F111" s="117" t="s">
        <v>91</v>
      </c>
      <c r="G111" s="153">
        <f>E111-E118-E124</f>
        <v>0</v>
      </c>
      <c r="H111" s="183">
        <f>H118+H124</f>
        <v>91899</v>
      </c>
      <c r="I111" s="183">
        <f t="shared" ref="I111:S111" si="4">I118+I124</f>
        <v>91899</v>
      </c>
      <c r="J111" s="183">
        <f t="shared" si="4"/>
        <v>91899</v>
      </c>
      <c r="K111" s="183">
        <f t="shared" si="4"/>
        <v>91899</v>
      </c>
      <c r="L111" s="183">
        <f t="shared" si="4"/>
        <v>91235</v>
      </c>
      <c r="M111" s="183">
        <f t="shared" si="4"/>
        <v>91235</v>
      </c>
      <c r="N111" s="183">
        <f t="shared" si="4"/>
        <v>90980</v>
      </c>
      <c r="O111" s="183">
        <f t="shared" si="4"/>
        <v>90980</v>
      </c>
      <c r="P111" s="183">
        <f t="shared" si="4"/>
        <v>90980</v>
      </c>
      <c r="Q111" s="183">
        <f t="shared" si="4"/>
        <v>90980</v>
      </c>
      <c r="R111" s="183">
        <f t="shared" si="4"/>
        <v>90780</v>
      </c>
      <c r="S111" s="183">
        <f t="shared" si="4"/>
        <v>90780</v>
      </c>
      <c r="T111" s="185">
        <f>H111*4+L111*2+N111*4+R111*2</f>
        <v>1095546</v>
      </c>
      <c r="U111" s="177">
        <f>T111/12</f>
        <v>91295.5</v>
      </c>
    </row>
    <row r="112" spans="1:21" ht="14.25" customHeight="1" x14ac:dyDescent="0.3">
      <c r="E112" s="125"/>
      <c r="H112" s="184" t="s">
        <v>111</v>
      </c>
      <c r="I112" s="184" t="s">
        <v>172</v>
      </c>
      <c r="J112" s="184" t="s">
        <v>173</v>
      </c>
      <c r="K112" s="184" t="s">
        <v>174</v>
      </c>
      <c r="L112" s="184" t="s">
        <v>114</v>
      </c>
      <c r="M112" s="184" t="s">
        <v>115</v>
      </c>
      <c r="N112" s="184" t="s">
        <v>116</v>
      </c>
      <c r="O112" s="184" t="s">
        <v>117</v>
      </c>
      <c r="P112" s="184" t="s">
        <v>175</v>
      </c>
      <c r="Q112" s="184" t="s">
        <v>176</v>
      </c>
      <c r="R112" s="184" t="s">
        <v>118</v>
      </c>
      <c r="S112" s="184" t="s">
        <v>177</v>
      </c>
      <c r="T112" s="121"/>
    </row>
    <row r="113" spans="1:21" ht="66" customHeight="1" x14ac:dyDescent="0.3">
      <c r="A113" s="166" t="s">
        <v>151</v>
      </c>
      <c r="B113" s="463" t="s">
        <v>168</v>
      </c>
      <c r="C113" s="463"/>
      <c r="D113" s="463"/>
      <c r="E113" s="168">
        <f>E109/E111</f>
        <v>5.0115835391667716</v>
      </c>
      <c r="F113" s="117" t="s">
        <v>89</v>
      </c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</row>
    <row r="114" spans="1:21" ht="15.75" customHeight="1" x14ac:dyDescent="0.25">
      <c r="A114" s="127" t="s">
        <v>93</v>
      </c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</row>
    <row r="115" spans="1:21" ht="14.25" customHeight="1" x14ac:dyDescent="0.25">
      <c r="A115" s="128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</row>
    <row r="116" spans="1:21" s="131" customFormat="1" ht="24" customHeight="1" x14ac:dyDescent="0.35">
      <c r="A116" s="129" t="s">
        <v>94</v>
      </c>
      <c r="B116" s="130"/>
      <c r="C116" s="130"/>
      <c r="D116" s="130"/>
      <c r="E116" s="130"/>
      <c r="H116" s="132"/>
      <c r="I116" s="132"/>
      <c r="J116" s="132"/>
      <c r="K116" s="132"/>
      <c r="L116" s="132"/>
      <c r="M116" s="132"/>
      <c r="N116" s="132"/>
      <c r="O116" s="132"/>
      <c r="P116" s="132"/>
      <c r="Q116" s="132"/>
      <c r="R116" s="132"/>
      <c r="S116" s="132"/>
      <c r="T116" s="132"/>
    </row>
    <row r="117" spans="1:21" ht="12.75" customHeight="1" x14ac:dyDescent="0.25"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</row>
    <row r="118" spans="1:21" ht="66.75" customHeight="1" x14ac:dyDescent="0.3">
      <c r="A118" s="133" t="s">
        <v>95</v>
      </c>
      <c r="B118" s="463" t="s">
        <v>157</v>
      </c>
      <c r="C118" s="463"/>
      <c r="D118" s="463"/>
      <c r="E118" s="134">
        <f>ROUND(U118,4)</f>
        <v>83709.833299999998</v>
      </c>
      <c r="F118" s="117" t="s">
        <v>91</v>
      </c>
      <c r="H118" s="126">
        <v>84281</v>
      </c>
      <c r="I118" s="126">
        <v>84281</v>
      </c>
      <c r="J118" s="126">
        <v>84281</v>
      </c>
      <c r="K118" s="126">
        <v>84281</v>
      </c>
      <c r="L118" s="126">
        <v>83693</v>
      </c>
      <c r="M118" s="126">
        <v>83693</v>
      </c>
      <c r="N118" s="126">
        <v>83427</v>
      </c>
      <c r="O118" s="126">
        <v>83427</v>
      </c>
      <c r="P118" s="126">
        <v>83427</v>
      </c>
      <c r="Q118" s="126">
        <v>83427</v>
      </c>
      <c r="R118" s="126">
        <v>83150</v>
      </c>
      <c r="S118" s="126">
        <v>83150</v>
      </c>
      <c r="T118" s="126">
        <f>SUM(H118:S118)</f>
        <v>1004518</v>
      </c>
      <c r="U118" s="117">
        <f>T118/12</f>
        <v>83709.833333333328</v>
      </c>
    </row>
    <row r="119" spans="1:21" ht="18.75" x14ac:dyDescent="0.3">
      <c r="E119" s="125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</row>
    <row r="120" spans="1:21" ht="45.75" customHeight="1" x14ac:dyDescent="0.35">
      <c r="A120" s="135" t="s">
        <v>96</v>
      </c>
      <c r="B120" s="463" t="s">
        <v>212</v>
      </c>
      <c r="C120" s="463"/>
      <c r="D120" s="463"/>
      <c r="E120" s="145">
        <f>IFERROR(ROUND(E113*E118,2),0)</f>
        <v>419518.82</v>
      </c>
      <c r="F120" s="117" t="s">
        <v>89</v>
      </c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</row>
    <row r="121" spans="1:21" x14ac:dyDescent="0.25"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</row>
    <row r="122" spans="1:21" s="131" customFormat="1" ht="25.5" customHeight="1" x14ac:dyDescent="0.35">
      <c r="A122" s="129" t="s">
        <v>128</v>
      </c>
      <c r="B122" s="130"/>
      <c r="C122" s="130"/>
      <c r="D122" s="130"/>
      <c r="E122" s="130"/>
      <c r="H122" s="132"/>
      <c r="I122" s="132"/>
      <c r="J122" s="132"/>
      <c r="K122" s="132"/>
      <c r="L122" s="132"/>
      <c r="M122" s="132"/>
      <c r="N122" s="132"/>
      <c r="O122" s="132"/>
      <c r="P122" s="132"/>
      <c r="Q122" s="132"/>
      <c r="R122" s="132"/>
      <c r="S122" s="132"/>
      <c r="T122" s="132"/>
    </row>
    <row r="123" spans="1:21" ht="9" customHeight="1" x14ac:dyDescent="0.25"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</row>
    <row r="124" spans="1:21" ht="61.5" customHeight="1" x14ac:dyDescent="0.3">
      <c r="A124" s="133" t="s">
        <v>95</v>
      </c>
      <c r="B124" s="463" t="s">
        <v>156</v>
      </c>
      <c r="C124" s="463"/>
      <c r="D124" s="463"/>
      <c r="E124" s="134">
        <f>ROUND(U124,4)</f>
        <v>7585.6666999999998</v>
      </c>
      <c r="F124" s="117" t="s">
        <v>91</v>
      </c>
      <c r="H124" s="126">
        <v>7618</v>
      </c>
      <c r="I124" s="126">
        <v>7618</v>
      </c>
      <c r="J124" s="126">
        <v>7618</v>
      </c>
      <c r="K124" s="126">
        <v>7618</v>
      </c>
      <c r="L124" s="126">
        <v>7542</v>
      </c>
      <c r="M124" s="126">
        <v>7542</v>
      </c>
      <c r="N124" s="126">
        <v>7553</v>
      </c>
      <c r="O124" s="126">
        <v>7553</v>
      </c>
      <c r="P124" s="126">
        <v>7553</v>
      </c>
      <c r="Q124" s="126">
        <v>7553</v>
      </c>
      <c r="R124" s="126">
        <v>7630</v>
      </c>
      <c r="S124" s="126">
        <v>7630</v>
      </c>
      <c r="T124" s="126">
        <f>SUM(H124:S124)</f>
        <v>91028</v>
      </c>
      <c r="U124" s="117">
        <f>T124/12</f>
        <v>7585.666666666667</v>
      </c>
    </row>
    <row r="126" spans="1:21" ht="45.75" customHeight="1" x14ac:dyDescent="0.35">
      <c r="A126" s="135" t="s">
        <v>96</v>
      </c>
      <c r="B126" s="463" t="s">
        <v>213</v>
      </c>
      <c r="C126" s="463"/>
      <c r="D126" s="463"/>
      <c r="E126" s="145">
        <f>IFERROR(ROUND(E113*E124,2),0)</f>
        <v>38016.199999999997</v>
      </c>
      <c r="F126" s="117" t="s">
        <v>89</v>
      </c>
      <c r="H126" s="122"/>
      <c r="I126" s="122"/>
      <c r="J126" s="122"/>
      <c r="K126" s="122"/>
    </row>
  </sheetData>
  <mergeCells count="45">
    <mergeCell ref="B120:D120"/>
    <mergeCell ref="B124:D124"/>
    <mergeCell ref="B126:D126"/>
    <mergeCell ref="A105:F105"/>
    <mergeCell ref="B107:C107"/>
    <mergeCell ref="B109:D109"/>
    <mergeCell ref="B111:D111"/>
    <mergeCell ref="B113:D113"/>
    <mergeCell ref="B118:D118"/>
    <mergeCell ref="A103:F103"/>
    <mergeCell ref="B71:D71"/>
    <mergeCell ref="B73:D73"/>
    <mergeCell ref="B77:D77"/>
    <mergeCell ref="B79:D79"/>
    <mergeCell ref="B81:F81"/>
    <mergeCell ref="A83:F83"/>
    <mergeCell ref="B87:D87"/>
    <mergeCell ref="B89:D89"/>
    <mergeCell ref="B92:D92"/>
    <mergeCell ref="A94:F94"/>
    <mergeCell ref="A101:F101"/>
    <mergeCell ref="B66:D66"/>
    <mergeCell ref="B35:D35"/>
    <mergeCell ref="B37:D37"/>
    <mergeCell ref="A39:F39"/>
    <mergeCell ref="B43:D43"/>
    <mergeCell ref="B45:D45"/>
    <mergeCell ref="B50:D50"/>
    <mergeCell ref="B52:D52"/>
    <mergeCell ref="B56:D56"/>
    <mergeCell ref="B58:D58"/>
    <mergeCell ref="A60:F60"/>
    <mergeCell ref="B64:D64"/>
    <mergeCell ref="B31:D31"/>
    <mergeCell ref="A5:F5"/>
    <mergeCell ref="A7:D7"/>
    <mergeCell ref="B9:F9"/>
    <mergeCell ref="A10:F10"/>
    <mergeCell ref="B12:D12"/>
    <mergeCell ref="B14:D14"/>
    <mergeCell ref="B16:D16"/>
    <mergeCell ref="A18:F18"/>
    <mergeCell ref="B22:D22"/>
    <mergeCell ref="B24:D24"/>
    <mergeCell ref="B29:D29"/>
  </mergeCells>
  <pageMargins left="0.7" right="0.7" top="0.75" bottom="0.75" header="0.3" footer="0.3"/>
  <pageSetup paperSize="9" scale="7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СВОД</vt:lpstr>
      <vt:lpstr>МОБ</vt:lpstr>
      <vt:lpstr>МОЦОМиД</vt:lpstr>
      <vt:lpstr>Городская поликлиника</vt:lpstr>
      <vt:lpstr>Прил_2_Ранжирование</vt:lpstr>
      <vt:lpstr>Прил_3_Доп. критерии</vt:lpstr>
      <vt:lpstr>ПР_4 ОБЪЕМ СРЕДСТВ (Основной)</vt:lpstr>
      <vt:lpstr>ПР_4 ОБЪЕМ СРЕДСТВ (АМП)</vt:lpstr>
      <vt:lpstr>ПР_4 ОБЪЕМ СРЕДСТВ (СТОМАТ)</vt:lpstr>
      <vt:lpstr>Пр_5_СВОД СТИМУЛ ВЫПЛАТ</vt:lpstr>
      <vt:lpstr>шаблон</vt:lpstr>
      <vt:lpstr>'Городская поликлиника'!Заголовки_для_печати</vt:lpstr>
      <vt:lpstr>МОБ!Заголовки_для_печати</vt:lpstr>
      <vt:lpstr>МОЦОМиД!Заголовки_для_печати</vt:lpstr>
      <vt:lpstr>СВОД!Заголовки_для_печати</vt:lpstr>
      <vt:lpstr>шаблон!Заголовки_для_печати</vt:lpstr>
      <vt:lpstr>'Городская поликлиника'!Область_печати</vt:lpstr>
      <vt:lpstr>МОБ!Область_печати</vt:lpstr>
      <vt:lpstr>МОЦОМиД!Область_печати</vt:lpstr>
      <vt:lpstr>'ПР_4 ОБЪЕМ СРЕДСТВ (АМП)'!Область_печати</vt:lpstr>
      <vt:lpstr>'ПР_4 ОБЪЕМ СРЕДСТВ (Основной)'!Область_печати</vt:lpstr>
      <vt:lpstr>'ПР_4 ОБЪЕМ СРЕДСТВ (СТОМАТ)'!Область_печати</vt:lpstr>
      <vt:lpstr>'Пр_5_СВОД СТИМУЛ ВЫПЛАТ'!Область_печати</vt:lpstr>
      <vt:lpstr>Прил_2_Ранжирование!Область_печати</vt:lpstr>
      <vt:lpstr>'Прил_3_Доп. критерии'!Область_печати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2022-02-28T09:59:06Z</dcterms:created>
  <dcterms:modified xsi:type="dcterms:W3CDTF">2024-06-27T09:57:14Z</dcterms:modified>
</cp:coreProperties>
</file>